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E6B79E54-5DE9-4553-88B2-265533B3A4F8}" xr6:coauthVersionLast="36" xr6:coauthVersionMax="36" xr10:uidLastSave="{00000000-0000-0000-0000-000000000000}"/>
  <bookViews>
    <workbookView xWindow="0" yWindow="0" windowWidth="14955" windowHeight="7980" activeTab="1" xr2:uid="{00000000-000D-0000-FFFF-FFFF00000000}"/>
  </bookViews>
  <sheets>
    <sheet name="QuickStartGuide" sheetId="5" r:id="rId1"/>
    <sheet name="Major Project Report" sheetId="3" r:id="rId2"/>
    <sheet name="Photo Gallery" sheetId="6" r:id="rId3"/>
    <sheet name="Photo Gallery (2)" sheetId="7" r:id="rId4"/>
    <sheet name="Photo Gallery (3)" sheetId="8" r:id="rId5"/>
    <sheet name="Lists" sheetId="4" state="hidden" r:id="rId6"/>
  </sheets>
  <externalReferences>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_xlnm.Print_Area" localSheetId="3">'Photo Gallery (2)'!$A$1:$R$86</definedName>
    <definedName name="procurement">[3]Sheet2!$D$12:$D$15</definedName>
    <definedName name="ReportType" localSheetId="3">'[2]Major Project Report'!$B$3</definedName>
    <definedName name="ReportType">'Major Project Report'!$B$3</definedName>
  </definedNames>
  <calcPr calcId="191029"/>
</workbook>
</file>

<file path=xl/calcChain.xml><?xml version="1.0" encoding="utf-8"?>
<calcChain xmlns="http://schemas.openxmlformats.org/spreadsheetml/2006/main">
  <c r="H69" i="3" l="1"/>
  <c r="C44" i="3" l="1"/>
  <c r="G88" i="3" l="1"/>
  <c r="G91" i="3" s="1"/>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E91" i="3"/>
  <c r="E97" i="3" s="1"/>
  <c r="H91" i="3" l="1"/>
  <c r="G97" i="3"/>
  <c r="H47" i="3"/>
  <c r="H46" i="3"/>
  <c r="H44" i="3"/>
  <c r="H42" i="3"/>
  <c r="H41" i="3"/>
  <c r="H39" i="3"/>
  <c r="H34" i="3"/>
  <c r="G43" i="3"/>
  <c r="F43" i="3"/>
  <c r="E43" i="3"/>
  <c r="D43" i="3"/>
  <c r="C43" i="3"/>
  <c r="G38" i="3"/>
  <c r="F38" i="3"/>
  <c r="E38" i="3"/>
  <c r="D38" i="3"/>
  <c r="C38" i="3"/>
  <c r="D33" i="3"/>
  <c r="E33" i="3"/>
  <c r="F33" i="3"/>
  <c r="G33" i="3"/>
  <c r="C33" i="3"/>
  <c r="H97" i="3" l="1"/>
  <c r="H43" i="3"/>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<sst xmlns="http://schemas.openxmlformats.org/spreadsheetml/2006/main" count="250" uniqueCount="228">
  <si>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</si>
  <si>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</si>
  <si>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</si>
  <si>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</si>
  <si>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</si>
  <si>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</si>
  <si>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</si>
  <si>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</si>
  <si>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</si>
  <si>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</si>
  <si>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</si>
  <si>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</si>
  <si>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</si>
  <si>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</si>
  <si>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</si>
  <si>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</si>
  <si>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</si>
  <si>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</si>
  <si>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</si>
  <si>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</si>
  <si>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</si>
  <si>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</si>
  <si>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</si>
  <si>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</si>
  <si>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</si>
  <si>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</si>
  <si>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</si>
  <si>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</si>
  <si>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</si>
  <si>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</si>
  <si>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</si>
  <si>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</si>
  <si>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</si>
  <si>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</si>
  <si>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</si>
  <si>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</si>
  <si>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</si>
  <si>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</si>
  <si>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</si>
  <si>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</si>
  <si>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</si>
  <si>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</si>
  <si>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</si>
  <si>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</si>
  <si>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</si>
  <si>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</si>
  <si>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</si>
  <si>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</si>
  <si>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</si>
  <si>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</si>
  <si>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</si>
  <si>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</si>
  <si>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</si>
  <si>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</si>
  <si>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</si>
  <si>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</si>
  <si>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</si>
  <si>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</si>
  <si>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</si>
  <si>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</si>
  <si>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</si>
  <si>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</si>
  <si>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</si>
  <si>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</si>
  <si>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</si>
  <si>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</si>
  <si>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</si>
  <si>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</si>
  <si>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</si>
  <si>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</si>
  <si>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</si>
  <si>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</si>
  <si>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</si>
  <si>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</si>
  <si>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</si>
  <si>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</si>
  <si>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</si>
  <si>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</si>
  <si>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</si>
  <si>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</si>
  <si>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</si>
  <si>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</si>
  <si>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</si>
  <si>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</si>
  <si>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</si>
  <si>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</si>
  <si>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</si>
  <si>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</si>
  <si>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</si>
  <si>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</si>
  <si>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</si>
  <si>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</si>
  <si>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</si>
  <si>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</si>
  <si>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</si>
  <si>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</si>
  <si>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</si>
  <si>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</si>
  <si>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</si>
  <si>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</si>
  <si>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</si>
  <si>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</si>
  <si>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</si>
  <si>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</si>
  <si>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</si>
  <si>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</si>
  <si>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</si>
  <si>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</si>
  <si>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</si>
  <si>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</si>
  <si>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</si>
  <si>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</si>
  <si>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</si>
  <si>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</si>
  <si>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</si>
  <si>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</si>
  <si>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</si>
  <si>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</si>
  <si>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</si>
  <si>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</si>
  <si>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</si>
  <si>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</si>
  <si>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</si>
  <si>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</si>
  <si>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</si>
  <si>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</si>
  <si>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</si>
  <si>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</si>
  <si>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</si>
  <si>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</si>
  <si>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</si>
  <si>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</si>
  <si>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</si>
  <si>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</si>
  <si>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</si>
  <si>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</si>
  <si>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</si>
  <si>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</si>
  <si>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</si>
  <si>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</si>
  <si>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</si>
  <si>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</si>
  <si>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</si>
  <si>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</si>
  <si>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</si>
  <si>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</si>
  <si>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</si>
  <si>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</si>
  <si>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</si>
  <si>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</si>
  <si>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</si>
  <si>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</si>
  <si>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</si>
  <si>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</si>
  <si>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</si>
  <si>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</si>
  <si>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</si>
  <si>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</si>
  <si>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</si>
  <si>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</si>
  <si>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</si>
  <si>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</si>
  <si>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</si>
  <si>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</si>
  <si>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</si>
  <si>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</si>
  <si>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</si>
  <si>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</si>
  <si>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</si>
  <si>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</si>
  <si>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</si>
  <si>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</si>
  <si>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</si>
  <si>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</si>
  <si>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</si>
  <si>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</si>
  <si>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</si>
  <si>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</si>
  <si>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</si>
  <si>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</si>
  <si>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</si>
  <si>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</si>
  <si>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</si>
  <si>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</si>
  <si>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</si>
  <si>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</si>
  <si>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</si>
  <si>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</si>
  <si>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</si>
  <si>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</si>
  <si>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</si>
  <si>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</si>
  <si>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</si>
  <si>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</si>
  <si>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</si>
  <si>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</si>
  <si>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</si>
  <si>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</si>
  <si>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</si>
  <si>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</si>
  <si>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</si>
  <si>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</si>
  <si>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</si>
  <si>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</si>
  <si>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</si>
  <si>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</si>
  <si>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</si>
  <si>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</si>
  <si>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</si>
  <si>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</si>
  <si>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</si>
  <si>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</si>
  <si>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</si>
  <si>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Grays Harbor College Student Services and Instructional Building</t>
  </si>
  <si>
    <t>U88</t>
  </si>
  <si>
    <t>N265</t>
  </si>
  <si>
    <t>C00</t>
  </si>
  <si>
    <t>147 Local Funds</t>
  </si>
  <si>
    <t>Q583-COP</t>
  </si>
  <si>
    <t>OFM approved</t>
  </si>
  <si>
    <t>bldg permit</t>
  </si>
  <si>
    <t>Campus PM</t>
  </si>
  <si>
    <t>The Student Services &amp; Instructional Building (SSIB) is a replacement for our current student services building. In addition to replacing obsolescent space, it will consolidate student service programs that are dispersed among other buildings on campus, and provide instructional space for a culinary arts/hospitality program.</t>
  </si>
  <si>
    <t>June 2024</t>
  </si>
  <si>
    <t>Floyd Plemmons</t>
  </si>
  <si>
    <t>floyd.plemmons@ghc.edu</t>
  </si>
  <si>
    <t xml:space="preserve">Closeout procedures for the building, including punch list and administrative work are currently ongoing,  substantial completion was achieved 3/5/2024.  There are currently 3 outstanding COPs under dispute, which if paid as presented by the GC, may result in exceeding the project budget.
GHC is working with DES to resolve the outstanding disputes.  It is possible that one subcontractor, responsible for all 3 of the COPs, will not agree to a negotiated settlement and mediation/arbitration may be necessary.
Delays and disputed COPs are both the result of a permit delay in March 2022.  </t>
  </si>
  <si>
    <t>Demolish Building 100 (UFI A00146) 22,643 gsf and building 200 (UFI A00079) 12,437 gsf
Wa Arts Commission: June 2024  artist selected (Lynn Basa). Nearing fabrication phase
Permit delay for NPDES stormwater has resulted in 3 disputed COPs.
The SSIB is currently officially named tulalW Student Center by the Garys Harbor College Board of Trustees.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</si>
</sst>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0" fillId="0" borderId="0" xfId="0" applyNumberFormat="1"/>
    <xf numFmtId="42"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4">
    <dxf>
      <font>
        <b val="0"/>
        <i val="0"/>
      </font>
      <numFmt numFmtId="0" formatCode="General"/>
      <fill>
        <patternFill patternType="none">
          <bgColor auto="1"/>
        </patternFill>
      </fill>
      <border>
        <left/>
        <right/>
        <top/>
        <bottom/>
        <vertical/>
        <horizontal/>
      </border>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6</xdr:row>
      <xdr:rowOff>29175</xdr:rowOff>
    </xdr:from>
    <xdr:to>
      <xdr:col>7</xdr:col>
      <xdr:colOff>237259</xdr:colOff>
      <xdr:row>19</xdr:row>
      <xdr:rowOff>27973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95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40005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Steel  structure</a:t>
          </a:r>
          <a:r>
            <a:rPr lang="en-US" sz="1100" b="1" baseline="0">
              <a:solidFill>
                <a:schemeClr val="bg1"/>
              </a:solidFill>
            </a:rPr>
            <a:t> 12/2022</a:t>
          </a:r>
        </a:p>
        <a:p>
          <a:pPr algn="ctr"/>
          <a:endParaRPr lang="en-US" sz="1100" b="1">
            <a:solidFill>
              <a:schemeClr val="bg1"/>
            </a:solidFill>
          </a:endParaRPr>
        </a:p>
      </xdr:txBody>
    </xdr:sp>
    <xdr:clientData fLocksWithSheet="0"/>
  </xdr:twoCellAnchor>
  <xdr:twoCellAnchor>
    <xdr:from>
      <xdr:col>9</xdr:col>
      <xdr:colOff>600075</xdr:colOff>
      <xdr:row>6</xdr:row>
      <xdr:rowOff>29175</xdr:rowOff>
    </xdr:from>
    <xdr:to>
      <xdr:col>16</xdr:col>
      <xdr:colOff>237259</xdr:colOff>
      <xdr:row>19</xdr:row>
      <xdr:rowOff>27973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6025" y="1095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300-000005000000}"/>
            </a:ext>
          </a:extLst>
        </xdr:cNvPr>
        <xdr:cNvSpPr txBox="1"/>
      </xdr:nvSpPr>
      <xdr:spPr>
        <a:xfrm>
          <a:off x="609600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Overhead 12/22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27</xdr:row>
      <xdr:rowOff>29175</xdr:rowOff>
    </xdr:from>
    <xdr:to>
      <xdr:col>7</xdr:col>
      <xdr:colOff>237259</xdr:colOff>
      <xdr:row>40</xdr:row>
      <xdr:rowOff>27973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0075" y="50964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00000000-0008-0000-0300-000007000000}"/>
            </a:ext>
          </a:extLst>
        </xdr:cNvPr>
        <xdr:cNvSpPr txBox="1"/>
      </xdr:nvSpPr>
      <xdr:spPr>
        <a:xfrm>
          <a:off x="40005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endParaRPr lang="en-US" sz="1100" b="1">
            <a:solidFill>
              <a:schemeClr val="bg1"/>
            </a:solidFill>
          </a:endParaRPr>
        </a:p>
      </xdr:txBody>
    </xdr:sp>
    <xdr:clientData fLocksWithSheet="0"/>
  </xdr:twoCellAnchor>
  <xdr:twoCellAnchor>
    <xdr:from>
      <xdr:col>9</xdr:col>
      <xdr:colOff>600075</xdr:colOff>
      <xdr:row>27</xdr:row>
      <xdr:rowOff>29175</xdr:rowOff>
    </xdr:from>
    <xdr:to>
      <xdr:col>16</xdr:col>
      <xdr:colOff>237259</xdr:colOff>
      <xdr:row>40</xdr:row>
      <xdr:rowOff>27973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6025" y="50964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00000000-0008-0000-0300-000009000000}"/>
            </a:ext>
          </a:extLst>
        </xdr:cNvPr>
        <xdr:cNvSpPr txBox="1"/>
      </xdr:nvSpPr>
      <xdr:spPr>
        <a:xfrm>
          <a:off x="609600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p>
        <a:p>
          <a:pPr algn="ctr"/>
          <a:endParaRPr lang="en-US" sz="1100" b="1">
            <a:solidFill>
              <a:schemeClr val="bg1"/>
            </a:solidFill>
          </a:endParaRPr>
        </a:p>
      </xdr:txBody>
    </xdr:sp>
    <xdr:clientData fLocksWithSheet="0"/>
  </xdr:twoCellAnchor>
  <xdr:twoCellAnchor>
    <xdr:from>
      <xdr:col>0</xdr:col>
      <xdr:colOff>600075</xdr:colOff>
      <xdr:row>48</xdr:row>
      <xdr:rowOff>29175</xdr:rowOff>
    </xdr:from>
    <xdr:to>
      <xdr:col>7</xdr:col>
      <xdr:colOff>237259</xdr:colOff>
      <xdr:row>61</xdr:row>
      <xdr:rowOff>27973</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0075" y="9096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00000000-0008-0000-0300-00000B000000}"/>
            </a:ext>
          </a:extLst>
        </xdr:cNvPr>
        <xdr:cNvSpPr txBox="1"/>
      </xdr:nvSpPr>
      <xdr:spPr>
        <a:xfrm>
          <a:off x="40005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08/2022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48</xdr:row>
      <xdr:rowOff>29175</xdr:rowOff>
    </xdr:from>
    <xdr:to>
      <xdr:col>16</xdr:col>
      <xdr:colOff>237259</xdr:colOff>
      <xdr:row>61</xdr:row>
      <xdr:rowOff>27973</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96025" y="9096975"/>
          <a:ext cx="4237759" cy="247529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00000000-0008-0000-0300-00000D000000}"/>
            </a:ext>
          </a:extLst>
        </xdr:cNvPr>
        <xdr:cNvSpPr txBox="1"/>
      </xdr:nvSpPr>
      <xdr:spPr>
        <a:xfrm>
          <a:off x="609600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0075" y="12948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00000000-0008-0000-0300-00000F000000}"/>
            </a:ext>
          </a:extLst>
        </xdr:cNvPr>
        <xdr:cNvSpPr txBox="1"/>
      </xdr:nvSpPr>
      <xdr:spPr>
        <a:xfrm>
          <a:off x="400050" y="15811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96025" y="12948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00000000-0008-0000-0300-000011000000}"/>
            </a:ext>
          </a:extLst>
        </xdr:cNvPr>
        <xdr:cNvSpPr txBox="1"/>
      </xdr:nvSpPr>
      <xdr:spPr>
        <a:xfrm>
          <a:off x="6096000" y="15811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400050" y="37020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Overhead</a:t>
          </a:r>
          <a:r>
            <a:rPr lang="en-US" sz="1100" b="1" baseline="0">
              <a:solidFill>
                <a:schemeClr val="bg1"/>
              </a:solidFill>
            </a:rPr>
            <a:t> 4/1/2024</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400-000005000000}"/>
            </a:ext>
          </a:extLst>
        </xdr:cNvPr>
        <xdr:cNvSpPr txBox="1"/>
      </xdr:nvSpPr>
      <xdr:spPr>
        <a:xfrm>
          <a:off x="6127750" y="37020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Front view 3/1/2024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00000000-0008-0000-0400-000007000000}"/>
            </a:ext>
          </a:extLst>
        </xdr:cNvPr>
        <xdr:cNvSpPr txBox="1"/>
      </xdr:nvSpPr>
      <xdr:spPr>
        <a:xfrm>
          <a:off x="400050" y="756920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00000000-0008-0000-0400-000009000000}"/>
            </a:ext>
          </a:extLst>
        </xdr:cNvPr>
        <xdr:cNvSpPr txBox="1"/>
      </xdr:nvSpPr>
      <xdr:spPr>
        <a:xfrm>
          <a:off x="6127750" y="756920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HUB demo 08/2022</a:t>
          </a:r>
        </a:p>
        <a:p>
          <a:pPr algn="ctr"/>
          <a:endParaRPr lang="en-US" sz="1100" b="1">
            <a:solidFill>
              <a:schemeClr val="bg1"/>
            </a:solidFill>
          </a:endParaRPr>
        </a:p>
      </xdr:txBody>
    </xdr:sp>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00000000-0008-0000-0400-00000B000000}"/>
            </a:ext>
          </a:extLst>
        </xdr:cNvPr>
        <xdr:cNvSpPr txBox="1"/>
      </xdr:nvSpPr>
      <xdr:spPr>
        <a:xfrm>
          <a:off x="400050" y="114363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08/2022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00000000-0008-0000-0400-00000D000000}"/>
            </a:ext>
          </a:extLst>
        </xdr:cNvPr>
        <xdr:cNvSpPr txBox="1"/>
      </xdr:nvSpPr>
      <xdr:spPr>
        <a:xfrm>
          <a:off x="6127750" y="11436350"/>
          <a:ext cx="4718049"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Auger</a:t>
          </a:r>
          <a:r>
            <a:rPr lang="en-US" sz="1100" b="1" baseline="0">
              <a:solidFill>
                <a:schemeClr val="bg1"/>
              </a:solidFill>
            </a:rPr>
            <a:t> cast piles, grade beams 08/23</a:t>
          </a:r>
        </a:p>
        <a:p>
          <a:pPr algn="ctr"/>
          <a:endParaRPr lang="en-US" sz="1100" b="1">
            <a:solidFill>
              <a:schemeClr val="bg1"/>
            </a:solidFill>
          </a:endParaRPr>
        </a:p>
      </xdr:txBody>
    </xdr:sp>
    <xdr:clientData fLocksWithSheet="0"/>
  </xdr:twoCellAnchor>
  <xdr:twoCellAnchor editAs="oneCell">
    <xdr:from>
      <xdr:col>0</xdr:col>
      <xdr:colOff>355600</xdr:colOff>
      <xdr:row>1</xdr:row>
      <xdr:rowOff>152400</xdr:rowOff>
    </xdr:from>
    <xdr:to>
      <xdr:col>7</xdr:col>
      <xdr:colOff>558800</xdr:colOff>
      <xdr:row>19</xdr:row>
      <xdr:rowOff>25400</xdr:rowOff>
    </xdr:to>
    <xdr:pic>
      <xdr:nvPicPr>
        <xdr:cNvPr id="18" name="Picture 17" descr="C:\Users\kwabena.boakye\AppData\Local\Packages\Microsoft.Windows.Photos_8wekyb3d8bbwe\TempState\ShareServiceTempFolder\TulalW.jpe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342900"/>
          <a:ext cx="46926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393700</xdr:colOff>
      <xdr:row>2</xdr:row>
      <xdr:rowOff>31750</xdr:rowOff>
    </xdr:from>
    <xdr:to>
      <xdr:col>16</xdr:col>
      <xdr:colOff>482600</xdr:colOff>
      <xdr:row>19</xdr:row>
      <xdr:rowOff>88900</xdr:rowOff>
    </xdr:to>
    <xdr:pic>
      <xdr:nvPicPr>
        <xdr:cNvPr id="19" name="Picture 18" descr="C:\Users\kwabena.boakye\AppData\Local\Packages\Microsoft.Windows.Photos_8wekyb3d8bbwe\TempState\ShareServiceTempFolder\SSIB.jpe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6300" y="412750"/>
          <a:ext cx="4578350" cy="311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406400</xdr:colOff>
      <xdr:row>41</xdr:row>
      <xdr:rowOff>47625</xdr:rowOff>
    </xdr:from>
    <xdr:to>
      <xdr:col>7</xdr:col>
      <xdr:colOff>501649</xdr:colOff>
      <xdr:row>42</xdr:row>
      <xdr:rowOff>95250</xdr:rowOff>
    </xdr:to>
    <xdr:sp macro="" textlink="" fLocksText="0">
      <xdr:nvSpPr>
        <xdr:cNvPr id="12" name="TextBox 11">
          <a:extLst>
            <a:ext uri="{FF2B5EF4-FFF2-40B4-BE49-F238E27FC236}">
              <a16:creationId xmlns:a16="http://schemas.microsoft.com/office/drawing/2014/main" id="{0C097E9A-8901-4075-943D-6E04CD85C925}"/>
            </a:ext>
          </a:extLst>
        </xdr:cNvPr>
        <xdr:cNvSpPr txBox="1"/>
      </xdr:nvSpPr>
      <xdr:spPr>
        <a:xfrm>
          <a:off x="406400" y="77819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Side view</a:t>
          </a:r>
          <a:r>
            <a:rPr lang="en-US" sz="1100" b="1" baseline="0">
              <a:solidFill>
                <a:schemeClr val="bg1"/>
              </a:solidFill>
            </a:rPr>
            <a:t> 3/18/2024</a:t>
          </a:r>
        </a:p>
        <a:p>
          <a:pPr algn="ctr"/>
          <a:endParaRPr lang="en-US" sz="1100" b="1">
            <a:solidFill>
              <a:schemeClr val="bg1"/>
            </a:solidFill>
          </a:endParaRPr>
        </a:p>
      </xdr:txBody>
    </xdr:sp>
    <xdr:clientData fLocksWithSheet="0"/>
  </xdr:twoCellAnchor>
  <xdr:twoCellAnchor>
    <xdr:from>
      <xdr:col>9</xdr:col>
      <xdr:colOff>406400</xdr:colOff>
      <xdr:row>41</xdr:row>
      <xdr:rowOff>47625</xdr:rowOff>
    </xdr:from>
    <xdr:to>
      <xdr:col>16</xdr:col>
      <xdr:colOff>501649</xdr:colOff>
      <xdr:row>42</xdr:row>
      <xdr:rowOff>95250</xdr:rowOff>
    </xdr:to>
    <xdr:sp macro="" textlink="" fLocksText="0">
      <xdr:nvSpPr>
        <xdr:cNvPr id="14" name="TextBox 13">
          <a:extLst>
            <a:ext uri="{FF2B5EF4-FFF2-40B4-BE49-F238E27FC236}">
              <a16:creationId xmlns:a16="http://schemas.microsoft.com/office/drawing/2014/main" id="{0CD09E2B-4730-483A-BD90-71CBEE46E3F3}"/>
            </a:ext>
          </a:extLst>
        </xdr:cNvPr>
        <xdr:cNvSpPr txBox="1"/>
      </xdr:nvSpPr>
      <xdr:spPr>
        <a:xfrm>
          <a:off x="5692775" y="77819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Side view 3/18/2024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446617</xdr:colOff>
      <xdr:row>23</xdr:row>
      <xdr:rowOff>9525</xdr:rowOff>
    </xdr:from>
    <xdr:to>
      <xdr:col>7</xdr:col>
      <xdr:colOff>480483</xdr:colOff>
      <xdr:row>39</xdr:row>
      <xdr:rowOff>180975</xdr:rowOff>
    </xdr:to>
    <xdr:pic>
      <xdr:nvPicPr>
        <xdr:cNvPr id="16" name="Picture 15">
          <a:extLst>
            <a:ext uri="{FF2B5EF4-FFF2-40B4-BE49-F238E27FC236}">
              <a16:creationId xmlns:a16="http://schemas.microsoft.com/office/drawing/2014/main" id="{5E2FEEE8-1935-4F23-A99E-32D19E8D6E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46617" y="4314825"/>
          <a:ext cx="4301066" cy="322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431800</xdr:colOff>
      <xdr:row>23</xdr:row>
      <xdr:rowOff>79375</xdr:rowOff>
    </xdr:from>
    <xdr:to>
      <xdr:col>16</xdr:col>
      <xdr:colOff>457200</xdr:colOff>
      <xdr:row>40</xdr:row>
      <xdr:rowOff>60325</xdr:rowOff>
    </xdr:to>
    <xdr:pic>
      <xdr:nvPicPr>
        <xdr:cNvPr id="20" name="Picture 19">
          <a:extLst>
            <a:ext uri="{FF2B5EF4-FFF2-40B4-BE49-F238E27FC236}">
              <a16:creationId xmlns:a16="http://schemas.microsoft.com/office/drawing/2014/main" id="{6E2C7E1B-8AB2-4A1D-8A4D-0BC0C4E3768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5718175" y="4384675"/>
          <a:ext cx="429260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482600</xdr:colOff>
      <xdr:row>62</xdr:row>
      <xdr:rowOff>66675</xdr:rowOff>
    </xdr:from>
    <xdr:to>
      <xdr:col>7</xdr:col>
      <xdr:colOff>577849</xdr:colOff>
      <xdr:row>63</xdr:row>
      <xdr:rowOff>114300</xdr:rowOff>
    </xdr:to>
    <xdr:sp macro="" textlink="" fLocksText="0">
      <xdr:nvSpPr>
        <xdr:cNvPr id="21" name="TextBox 20">
          <a:extLst>
            <a:ext uri="{FF2B5EF4-FFF2-40B4-BE49-F238E27FC236}">
              <a16:creationId xmlns:a16="http://schemas.microsoft.com/office/drawing/2014/main" id="{6674304C-3BD0-4258-ADAA-9728F816F5A9}"/>
            </a:ext>
          </a:extLst>
        </xdr:cNvPr>
        <xdr:cNvSpPr txBox="1"/>
      </xdr:nvSpPr>
      <xdr:spPr>
        <a:xfrm>
          <a:off x="482600" y="118014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Student Services Center</a:t>
          </a:r>
          <a:r>
            <a:rPr lang="en-US" sz="1100" b="1" baseline="0">
              <a:solidFill>
                <a:schemeClr val="bg1"/>
              </a:solidFill>
            </a:rPr>
            <a:t> 3/1/2024</a:t>
          </a:r>
        </a:p>
        <a:p>
          <a:pPr algn="ctr"/>
          <a:endParaRPr lang="en-US" sz="1100" b="1">
            <a:solidFill>
              <a:schemeClr val="bg1"/>
            </a:solidFill>
          </a:endParaRPr>
        </a:p>
      </xdr:txBody>
    </xdr:sp>
    <xdr:clientData fLocksWithSheet="0"/>
  </xdr:twoCellAnchor>
  <xdr:twoCellAnchor>
    <xdr:from>
      <xdr:col>9</xdr:col>
      <xdr:colOff>482600</xdr:colOff>
      <xdr:row>62</xdr:row>
      <xdr:rowOff>66675</xdr:rowOff>
    </xdr:from>
    <xdr:to>
      <xdr:col>16</xdr:col>
      <xdr:colOff>577849</xdr:colOff>
      <xdr:row>63</xdr:row>
      <xdr:rowOff>114300</xdr:rowOff>
    </xdr:to>
    <xdr:sp macro="" textlink="" fLocksText="0">
      <xdr:nvSpPr>
        <xdr:cNvPr id="22" name="TextBox 21">
          <a:extLst>
            <a:ext uri="{FF2B5EF4-FFF2-40B4-BE49-F238E27FC236}">
              <a16:creationId xmlns:a16="http://schemas.microsoft.com/office/drawing/2014/main" id="{4D816C7F-EB7E-43EB-B935-478716ED61C0}"/>
            </a:ext>
          </a:extLst>
        </xdr:cNvPr>
        <xdr:cNvSpPr txBox="1"/>
      </xdr:nvSpPr>
      <xdr:spPr>
        <a:xfrm>
          <a:off x="5768975" y="118014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Student Services Center</a:t>
          </a:r>
          <a:r>
            <a:rPr lang="en-US" sz="1100" b="1" baseline="0">
              <a:solidFill>
                <a:schemeClr val="bg1"/>
              </a:solidFill>
            </a:rPr>
            <a:t> </a:t>
          </a:r>
          <a:r>
            <a:rPr lang="en-US" sz="1100" b="1">
              <a:solidFill>
                <a:schemeClr val="bg1"/>
              </a:solidFill>
            </a:rPr>
            <a:t>3/1/2024</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522817</xdr:colOff>
      <xdr:row>44</xdr:row>
      <xdr:rowOff>28575</xdr:rowOff>
    </xdr:from>
    <xdr:to>
      <xdr:col>7</xdr:col>
      <xdr:colOff>556683</xdr:colOff>
      <xdr:row>61</xdr:row>
      <xdr:rowOff>15875</xdr:rowOff>
    </xdr:to>
    <xdr:pic>
      <xdr:nvPicPr>
        <xdr:cNvPr id="23" name="Picture 22">
          <a:extLst>
            <a:ext uri="{FF2B5EF4-FFF2-40B4-BE49-F238E27FC236}">
              <a16:creationId xmlns:a16="http://schemas.microsoft.com/office/drawing/2014/main" id="{3E7C65B6-9DA6-4670-8183-87F37ED6F1A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522817" y="8334375"/>
          <a:ext cx="4301066" cy="322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508000</xdr:colOff>
      <xdr:row>44</xdr:row>
      <xdr:rowOff>98425</xdr:rowOff>
    </xdr:from>
    <xdr:to>
      <xdr:col>16</xdr:col>
      <xdr:colOff>533400</xdr:colOff>
      <xdr:row>61</xdr:row>
      <xdr:rowOff>79375</xdr:rowOff>
    </xdr:to>
    <xdr:pic>
      <xdr:nvPicPr>
        <xdr:cNvPr id="24" name="Picture 23">
          <a:extLst>
            <a:ext uri="{FF2B5EF4-FFF2-40B4-BE49-F238E27FC236}">
              <a16:creationId xmlns:a16="http://schemas.microsoft.com/office/drawing/2014/main" id="{56D418BF-7838-44F3-81A0-19CB871AADD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5794375" y="8404225"/>
          <a:ext cx="429260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30000127-ghc-stusvc-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loyd.plemmons@gh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16" zoomScale="150" zoomScaleNormal="15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178</v>
      </c>
      <c r="C1" s="134"/>
      <c r="D1" s="134"/>
      <c r="E1" s="134"/>
      <c r="F1" s="134"/>
      <c r="G1" s="134"/>
      <c r="H1" s="134"/>
      <c r="I1" s="134"/>
      <c r="J1" s="134"/>
      <c r="K1" s="134"/>
      <c r="L1" s="55"/>
    </row>
    <row r="2" spans="1:12" ht="21.75" thickBot="1" x14ac:dyDescent="0.4">
      <c r="A2" s="91"/>
      <c r="B2" s="135" t="s">
        <v>179</v>
      </c>
      <c r="C2" s="135"/>
      <c r="D2" s="135"/>
      <c r="E2" s="135"/>
      <c r="F2" s="135"/>
      <c r="G2" s="135"/>
      <c r="H2" s="135"/>
      <c r="I2" s="135"/>
      <c r="J2" s="135"/>
      <c r="K2" s="13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6" t="s">
        <v>182</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181</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184</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180</v>
      </c>
      <c r="C23" s="13"/>
      <c r="D23" s="13"/>
      <c r="E23" s="13"/>
      <c r="F23" s="13"/>
      <c r="G23" s="13"/>
      <c r="H23" s="13"/>
      <c r="I23" s="13"/>
      <c r="J23" s="13"/>
      <c r="K23" s="14"/>
    </row>
    <row r="24" spans="2:11" x14ac:dyDescent="0.25">
      <c r="B24" s="136" t="s">
        <v>196</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185</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2" t="s">
        <v>188</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191</v>
      </c>
      <c r="C37" s="132" t="s">
        <v>200</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201</v>
      </c>
      <c r="C40" s="132" t="s">
        <v>202</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203</v>
      </c>
      <c r="C43" s="132" t="s">
        <v>204</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205</v>
      </c>
      <c r="C45" s="132" t="s">
        <v>207</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69" zoomScaleNormal="100" workbookViewId="0">
      <selection activeCell="G102" sqref="G102"/>
    </sheetView>
  </sheetViews>
  <sheetFormatPr defaultColWidth="9.140625" defaultRowHeight="15" x14ac:dyDescent="0.25"/>
  <cols>
    <col min="1" max="1" width="1.5703125" customWidth="1"/>
    <col min="2" max="2" width="35.42578125" customWidth="1"/>
    <col min="3" max="7" width="14.5703125" customWidth="1"/>
    <col min="8" max="8" width="16" bestFit="1" customWidth="1"/>
    <col min="9" max="9" width="14.5703125" customWidth="1"/>
    <col min="10" max="10" width="1.5703125" customWidth="1"/>
    <col min="11" max="12" width="11.42578125" bestFit="1" customWidth="1"/>
  </cols>
  <sheetData>
    <row r="1" spans="1:13" ht="21.75" thickTop="1" x14ac:dyDescent="0.35">
      <c r="A1" s="54"/>
      <c r="B1" s="188" t="s">
        <v>57</v>
      </c>
      <c r="C1" s="188"/>
      <c r="D1" s="188"/>
      <c r="E1" s="188"/>
      <c r="F1" s="188"/>
      <c r="G1" s="188"/>
      <c r="H1" s="188"/>
      <c r="I1" s="188"/>
      <c r="J1" s="55"/>
    </row>
    <row r="2" spans="1:13" x14ac:dyDescent="0.25">
      <c r="A2" s="56"/>
      <c r="B2" s="129"/>
      <c r="C2" s="129"/>
      <c r="D2" s="129"/>
      <c r="E2" s="129" t="s">
        <v>209</v>
      </c>
      <c r="F2" s="129"/>
      <c r="G2" s="129"/>
      <c r="H2" s="129"/>
      <c r="I2" s="129"/>
      <c r="J2" s="57"/>
    </row>
    <row r="3" spans="1:13" ht="21" x14ac:dyDescent="0.35">
      <c r="A3" s="56"/>
      <c r="B3" s="189" t="s">
        <v>171</v>
      </c>
      <c r="C3" s="189"/>
      <c r="D3" s="189"/>
      <c r="E3" s="189"/>
      <c r="F3" s="189"/>
      <c r="G3" s="189"/>
      <c r="H3" s="189"/>
      <c r="I3" s="189"/>
      <c r="J3" s="57"/>
    </row>
    <row r="4" spans="1:13" ht="21" customHeight="1" x14ac:dyDescent="0.35">
      <c r="A4" s="58"/>
      <c r="B4" s="194" t="s">
        <v>223</v>
      </c>
      <c r="C4" s="194"/>
      <c r="D4" s="194"/>
      <c r="E4" s="194"/>
      <c r="F4" s="194"/>
      <c r="G4" s="194"/>
      <c r="H4" s="194"/>
      <c r="I4" s="194"/>
      <c r="J4" s="59"/>
    </row>
    <row r="5" spans="1:13" s="1" customFormat="1" x14ac:dyDescent="0.25">
      <c r="A5" s="60"/>
      <c r="B5" t="s">
        <v>59</v>
      </c>
      <c r="C5" s="173">
        <v>699</v>
      </c>
      <c r="D5" s="173"/>
      <c r="E5" s="173"/>
      <c r="F5" s="173"/>
      <c r="G5" s="173"/>
      <c r="H5" s="173"/>
      <c r="J5" s="61"/>
    </row>
    <row r="6" spans="1:13" s="1" customFormat="1" x14ac:dyDescent="0.25">
      <c r="A6" s="60"/>
      <c r="B6" t="s">
        <v>60</v>
      </c>
      <c r="C6" s="191" t="s">
        <v>213</v>
      </c>
      <c r="D6" s="192"/>
      <c r="E6" s="192"/>
      <c r="F6" s="192"/>
      <c r="G6" s="192"/>
      <c r="H6" s="193"/>
      <c r="J6" s="61"/>
    </row>
    <row r="7" spans="1:13" s="1" customFormat="1" ht="15.75" thickBot="1" x14ac:dyDescent="0.3">
      <c r="A7" s="62"/>
      <c r="B7" s="63" t="s">
        <v>143</v>
      </c>
      <c r="C7" s="190">
        <v>30000127</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2" t="s">
        <v>61</v>
      </c>
      <c r="C9" s="153"/>
      <c r="D9" s="153"/>
      <c r="E9" s="153"/>
      <c r="F9" s="153"/>
      <c r="G9" s="153"/>
      <c r="H9" s="153"/>
      <c r="I9" s="154"/>
      <c r="J9" s="61"/>
    </row>
    <row r="10" spans="1:13" s="1" customFormat="1" x14ac:dyDescent="0.25">
      <c r="A10" s="60"/>
      <c r="B10" s="15" t="s">
        <v>62</v>
      </c>
      <c r="C10" s="173" t="s">
        <v>224</v>
      </c>
      <c r="D10" s="173"/>
      <c r="E10" s="173"/>
      <c r="F10" s="173"/>
      <c r="G10" s="173"/>
      <c r="H10" s="173"/>
      <c r="I10" s="66"/>
      <c r="J10" s="61"/>
    </row>
    <row r="11" spans="1:13" s="1" customFormat="1" x14ac:dyDescent="0.25">
      <c r="A11" s="60"/>
      <c r="B11" s="15" t="s">
        <v>63</v>
      </c>
      <c r="C11" s="174"/>
      <c r="D11" s="174"/>
      <c r="E11" s="174"/>
      <c r="F11" s="174"/>
      <c r="G11" s="174"/>
      <c r="H11" s="174"/>
      <c r="I11" s="66"/>
      <c r="J11" s="61"/>
    </row>
    <row r="12" spans="1:13" s="1" customFormat="1" x14ac:dyDescent="0.25">
      <c r="A12" s="60"/>
      <c r="B12" s="18" t="s">
        <v>64</v>
      </c>
      <c r="C12" s="175" t="s">
        <v>225</v>
      </c>
      <c r="D12" s="175"/>
      <c r="E12" s="175"/>
      <c r="F12" s="175"/>
      <c r="G12" s="175"/>
      <c r="H12" s="175"/>
      <c r="I12" s="67"/>
      <c r="J12" s="61"/>
    </row>
    <row r="13" spans="1:13" ht="9.9499999999999993" customHeight="1" thickBot="1" x14ac:dyDescent="0.3">
      <c r="A13" s="56"/>
      <c r="D13" s="68"/>
      <c r="J13" s="57"/>
      <c r="M13" s="1"/>
    </row>
    <row r="14" spans="1:13" s="69" customFormat="1" ht="27" customHeight="1" thickTop="1" thickBot="1" x14ac:dyDescent="0.3">
      <c r="A14" s="155" t="s">
        <v>153</v>
      </c>
      <c r="B14" s="156"/>
      <c r="C14" s="156"/>
      <c r="D14" s="156"/>
      <c r="E14" s="156"/>
      <c r="F14" s="156"/>
      <c r="G14" s="156"/>
      <c r="H14" s="156"/>
      <c r="I14" s="156"/>
      <c r="J14" s="157"/>
      <c r="M14" s="1"/>
    </row>
    <row r="15" spans="1:13" ht="9.9499999999999993" customHeight="1" thickTop="1" x14ac:dyDescent="0.25">
      <c r="A15" s="56"/>
      <c r="D15" s="68"/>
      <c r="J15" s="57"/>
      <c r="M15" s="1"/>
    </row>
    <row r="16" spans="1:13" ht="15" customHeight="1" x14ac:dyDescent="0.25">
      <c r="A16" s="56"/>
      <c r="B16" s="70" t="s">
        <v>0</v>
      </c>
      <c r="C16" s="178" t="s">
        <v>222</v>
      </c>
      <c r="D16" s="179"/>
      <c r="E16" s="179"/>
      <c r="F16" s="179"/>
      <c r="G16" s="179"/>
      <c r="H16" s="179"/>
      <c r="I16" s="180"/>
      <c r="J16" s="57"/>
      <c r="M16" s="1"/>
    </row>
    <row r="17" spans="1:13" ht="15" customHeight="1" x14ac:dyDescent="0.25">
      <c r="A17" s="56"/>
      <c r="B17" s="187" t="s">
        <v>73</v>
      </c>
      <c r="C17" s="181"/>
      <c r="D17" s="182"/>
      <c r="E17" s="182"/>
      <c r="F17" s="182"/>
      <c r="G17" s="182"/>
      <c r="H17" s="182"/>
      <c r="I17" s="183"/>
      <c r="J17" s="57"/>
      <c r="M17" s="1"/>
    </row>
    <row r="18" spans="1:13" x14ac:dyDescent="0.25">
      <c r="A18" s="56"/>
      <c r="B18" s="187"/>
      <c r="C18" s="181"/>
      <c r="D18" s="182"/>
      <c r="E18" s="182"/>
      <c r="F18" s="182"/>
      <c r="G18" s="182"/>
      <c r="H18" s="182"/>
      <c r="I18" s="183"/>
      <c r="J18" s="57"/>
      <c r="M18" s="1"/>
    </row>
    <row r="19" spans="1:13" x14ac:dyDescent="0.25">
      <c r="A19" s="56"/>
      <c r="B19" s="187"/>
      <c r="C19" s="184"/>
      <c r="D19" s="185"/>
      <c r="E19" s="185"/>
      <c r="F19" s="185"/>
      <c r="G19" s="185"/>
      <c r="H19" s="185"/>
      <c r="I19" s="18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8" t="s">
        <v>226</v>
      </c>
      <c r="D21" s="179"/>
      <c r="E21" s="179"/>
      <c r="F21" s="179"/>
      <c r="G21" s="179"/>
      <c r="H21" s="179"/>
      <c r="I21" s="180"/>
      <c r="J21" s="57"/>
      <c r="M21" s="1"/>
    </row>
    <row r="22" spans="1:13" ht="15" customHeight="1" x14ac:dyDescent="0.25">
      <c r="A22" s="56"/>
      <c r="B22" s="176" t="s">
        <v>144</v>
      </c>
      <c r="C22" s="181"/>
      <c r="D22" s="182"/>
      <c r="E22" s="182"/>
      <c r="F22" s="182"/>
      <c r="G22" s="182"/>
      <c r="H22" s="182"/>
      <c r="I22" s="183"/>
      <c r="J22" s="57"/>
      <c r="M22" s="1"/>
    </row>
    <row r="23" spans="1:13" x14ac:dyDescent="0.25">
      <c r="A23" s="56"/>
      <c r="B23" s="176"/>
      <c r="C23" s="181"/>
      <c r="D23" s="182"/>
      <c r="E23" s="182"/>
      <c r="F23" s="182"/>
      <c r="G23" s="182"/>
      <c r="H23" s="182"/>
      <c r="I23" s="183"/>
      <c r="J23" s="57"/>
      <c r="M23" s="1"/>
    </row>
    <row r="24" spans="1:13" x14ac:dyDescent="0.25">
      <c r="A24" s="56"/>
      <c r="B24" s="176"/>
      <c r="C24" s="181"/>
      <c r="D24" s="182"/>
      <c r="E24" s="182"/>
      <c r="F24" s="182"/>
      <c r="G24" s="182"/>
      <c r="H24" s="182"/>
      <c r="I24" s="183"/>
      <c r="J24" s="57"/>
      <c r="M24" s="1"/>
    </row>
    <row r="25" spans="1:13" x14ac:dyDescent="0.25">
      <c r="A25" s="56"/>
      <c r="B25" s="176"/>
      <c r="C25" s="181"/>
      <c r="D25" s="182"/>
      <c r="E25" s="182"/>
      <c r="F25" s="182"/>
      <c r="G25" s="182"/>
      <c r="H25" s="182"/>
      <c r="I25" s="183"/>
      <c r="J25" s="57"/>
      <c r="M25" s="1"/>
    </row>
    <row r="26" spans="1:13" x14ac:dyDescent="0.25">
      <c r="A26" s="56"/>
      <c r="B26" s="176"/>
      <c r="C26" s="181"/>
      <c r="D26" s="182"/>
      <c r="E26" s="182"/>
      <c r="F26" s="182"/>
      <c r="G26" s="182"/>
      <c r="H26" s="182"/>
      <c r="I26" s="183"/>
      <c r="J26" s="57"/>
      <c r="M26" s="1"/>
    </row>
    <row r="27" spans="1:13" ht="40.5" customHeight="1" x14ac:dyDescent="0.25">
      <c r="A27" s="56"/>
      <c r="B27" s="177"/>
      <c r="C27" s="184"/>
      <c r="D27" s="185"/>
      <c r="E27" s="185"/>
      <c r="F27" s="185"/>
      <c r="G27" s="185"/>
      <c r="H27" s="185"/>
      <c r="I27" s="186"/>
      <c r="J27" s="57"/>
      <c r="M27" s="1"/>
    </row>
    <row r="28" spans="1:13" ht="9.9499999999999993" customHeight="1" x14ac:dyDescent="0.25">
      <c r="A28" s="56"/>
      <c r="D28" s="68"/>
      <c r="J28" s="57"/>
      <c r="M28" s="1"/>
    </row>
    <row r="29" spans="1:13" s="1" customFormat="1" x14ac:dyDescent="0.25">
      <c r="A29" s="60"/>
      <c r="B29" s="152" t="s">
        <v>154</v>
      </c>
      <c r="C29" s="153"/>
      <c r="D29" s="153"/>
      <c r="E29" s="153"/>
      <c r="F29" s="153"/>
      <c r="G29" s="153"/>
      <c r="H29" s="153"/>
      <c r="I29" s="154"/>
      <c r="J29" s="61"/>
    </row>
    <row r="30" spans="1:13" ht="15" customHeight="1" thickBot="1" x14ac:dyDescent="0.3">
      <c r="A30" s="56"/>
      <c r="B30" s="73"/>
      <c r="C30" s="158" t="s">
        <v>176</v>
      </c>
      <c r="D30" s="159"/>
      <c r="E30" s="159"/>
      <c r="F30" s="159"/>
      <c r="G30" s="159"/>
      <c r="H30" s="160"/>
      <c r="I30" s="161"/>
      <c r="J30" s="57"/>
      <c r="M30" s="1"/>
    </row>
    <row r="31" spans="1:13" ht="15" customHeight="1" x14ac:dyDescent="0.25">
      <c r="A31" s="56"/>
      <c r="B31" s="73"/>
      <c r="C31" s="158" t="s">
        <v>159</v>
      </c>
      <c r="D31" s="161"/>
      <c r="E31" s="158" t="s">
        <v>160</v>
      </c>
      <c r="F31" s="159"/>
      <c r="G31" s="159"/>
      <c r="H31" s="162" t="s">
        <v>1</v>
      </c>
      <c r="I31" s="164" t="s">
        <v>67</v>
      </c>
      <c r="J31" s="57"/>
      <c r="M31" s="1"/>
    </row>
    <row r="32" spans="1:13" s="1" customFormat="1" ht="30" x14ac:dyDescent="0.25">
      <c r="A32" s="60"/>
      <c r="B32" s="10" t="s">
        <v>156</v>
      </c>
      <c r="C32" s="74" t="s">
        <v>162</v>
      </c>
      <c r="D32" s="4" t="s">
        <v>210</v>
      </c>
      <c r="E32" s="4" t="s">
        <v>211</v>
      </c>
      <c r="F32" s="4" t="s">
        <v>212</v>
      </c>
      <c r="G32" s="5" t="s">
        <v>161</v>
      </c>
      <c r="H32" s="163"/>
      <c r="I32" s="165"/>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4651000</v>
      </c>
      <c r="D38" s="48">
        <f>SUM(D39:D42)</f>
        <v>0</v>
      </c>
      <c r="E38" s="48">
        <f>SUM(E39:E42)</f>
        <v>0</v>
      </c>
      <c r="F38" s="48">
        <f>SUM(F39:F42)</f>
        <v>0</v>
      </c>
      <c r="G38" s="49">
        <f>SUM(G39:G42)</f>
        <v>0</v>
      </c>
      <c r="H38" s="50">
        <f>SUM(C38:G38)</f>
        <v>4651000</v>
      </c>
      <c r="I38" s="7"/>
      <c r="J38" s="57"/>
      <c r="M38" s="1"/>
    </row>
    <row r="39" spans="1:13" x14ac:dyDescent="0.25">
      <c r="A39" s="56"/>
      <c r="B39" s="8" t="s">
        <v>157</v>
      </c>
      <c r="C39" s="75">
        <v>4151000</v>
      </c>
      <c r="D39" s="76"/>
      <c r="E39" s="76"/>
      <c r="F39" s="76"/>
      <c r="G39" s="77"/>
      <c r="H39" s="9">
        <f>SUM(C39:G39)</f>
        <v>4151000</v>
      </c>
      <c r="I39" s="78" t="s">
        <v>214</v>
      </c>
      <c r="J39" s="57"/>
      <c r="M39" s="1"/>
    </row>
    <row r="40" spans="1:13" x14ac:dyDescent="0.25">
      <c r="A40" s="56"/>
      <c r="B40" s="125" t="s">
        <v>195</v>
      </c>
      <c r="C40" s="75">
        <v>500000</v>
      </c>
      <c r="D40" s="76"/>
      <c r="E40" s="76"/>
      <c r="F40" s="76"/>
      <c r="G40" s="77"/>
      <c r="H40" s="9">
        <f>SUM(C40:G40)</f>
        <v>500000</v>
      </c>
      <c r="I40" s="78" t="s">
        <v>215</v>
      </c>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29789427.649999999</v>
      </c>
      <c r="D43" s="48">
        <f>SUM(D44:D47)</f>
        <v>15389922.24</v>
      </c>
      <c r="E43" s="48">
        <f>SUM(E44:E47)</f>
        <v>2046650.1100000013</v>
      </c>
      <c r="F43" s="48">
        <f>SUM(F44:F47)</f>
        <v>0</v>
      </c>
      <c r="G43" s="49">
        <f>SUM(G44:G47)</f>
        <v>0</v>
      </c>
      <c r="H43" s="50">
        <f>SUM(C43:G43)</f>
        <v>47226000</v>
      </c>
      <c r="I43" s="7"/>
      <c r="J43" s="57"/>
      <c r="M43" s="1"/>
    </row>
    <row r="44" spans="1:13" x14ac:dyDescent="0.25">
      <c r="A44" s="56"/>
      <c r="B44" s="8" t="s">
        <v>157</v>
      </c>
      <c r="C44" s="75">
        <f>26648513-59085.35</f>
        <v>26589427.649999999</v>
      </c>
      <c r="D44" s="76">
        <v>15389922.24</v>
      </c>
      <c r="E44" s="76">
        <f>44026000-C44-D44</f>
        <v>2046650.1100000013</v>
      </c>
      <c r="F44" s="76"/>
      <c r="G44" s="77"/>
      <c r="H44" s="9">
        <f>SUM(C44:G44)</f>
        <v>44026000</v>
      </c>
      <c r="I44" s="78" t="s">
        <v>216</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217</v>
      </c>
      <c r="C46" s="75">
        <v>3200000</v>
      </c>
      <c r="D46" s="76"/>
      <c r="E46" s="76"/>
      <c r="F46" s="76"/>
      <c r="G46" s="77"/>
      <c r="H46" s="9">
        <f t="shared" ref="H46:H47" si="2">SUM(C46:G46)</f>
        <v>3200000</v>
      </c>
      <c r="I46" s="78" t="s">
        <v>218</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34440427.649999999</v>
      </c>
      <c r="D48" s="51">
        <f>D33+D38+D43</f>
        <v>15389922.24</v>
      </c>
      <c r="E48" s="51">
        <f>E33+E38+E43</f>
        <v>2046650.1100000013</v>
      </c>
      <c r="F48" s="51">
        <f>F33+F38+F43</f>
        <v>0</v>
      </c>
      <c r="G48" s="52">
        <f>G33+G38+G43</f>
        <v>0</v>
      </c>
      <c r="H48" s="53">
        <f>SUM(C48:G48)</f>
        <v>51877000</v>
      </c>
      <c r="I48" s="7"/>
      <c r="J48" s="61"/>
    </row>
    <row r="49" spans="1:13" s="1" customFormat="1" ht="9.9499999999999993" customHeight="1" x14ac:dyDescent="0.25">
      <c r="A49" s="60"/>
      <c r="C49" s="79"/>
      <c r="D49" s="79"/>
      <c r="J49" s="61"/>
    </row>
    <row r="50" spans="1:13" s="1" customFormat="1" x14ac:dyDescent="0.25">
      <c r="A50" s="60"/>
      <c r="B50" s="149" t="s">
        <v>155</v>
      </c>
      <c r="C50" s="150"/>
      <c r="D50" s="150"/>
      <c r="E50" s="150"/>
      <c r="F50" s="150"/>
      <c r="G50" s="150"/>
      <c r="H50" s="150"/>
      <c r="I50" s="151"/>
      <c r="J50" s="61"/>
    </row>
    <row r="51" spans="1:13" x14ac:dyDescent="0.25">
      <c r="A51" s="56"/>
      <c r="B51" s="80" t="s">
        <v>69</v>
      </c>
      <c r="C51" s="170" t="s">
        <v>101</v>
      </c>
      <c r="D51" s="170"/>
      <c r="E51" s="169" t="s">
        <v>70</v>
      </c>
      <c r="F51" s="169"/>
      <c r="G51" s="143" t="s">
        <v>141</v>
      </c>
      <c r="H51" s="143"/>
      <c r="I51" s="16"/>
      <c r="J51" s="57"/>
      <c r="M51" s="1"/>
    </row>
    <row r="52" spans="1:13" x14ac:dyDescent="0.25">
      <c r="A52" s="56"/>
      <c r="B52" s="15" t="s">
        <v>192</v>
      </c>
      <c r="C52" s="171">
        <v>0</v>
      </c>
      <c r="D52" s="172"/>
      <c r="E52" t="s">
        <v>71</v>
      </c>
      <c r="G52" s="144" t="s">
        <v>138</v>
      </c>
      <c r="H52" s="144"/>
      <c r="I52" s="16"/>
      <c r="J52" s="57"/>
      <c r="M52" s="1"/>
    </row>
    <row r="53" spans="1:13" x14ac:dyDescent="0.25">
      <c r="A53" s="56"/>
      <c r="B53" s="18" t="s">
        <v>148</v>
      </c>
      <c r="C53" s="144" t="s">
        <v>55</v>
      </c>
      <c r="D53" s="144"/>
      <c r="E53" s="19" t="s">
        <v>72</v>
      </c>
      <c r="F53" s="19"/>
      <c r="G53" s="144" t="s">
        <v>138</v>
      </c>
      <c r="H53" s="144"/>
      <c r="I53" s="20"/>
      <c r="J53" s="57"/>
      <c r="M53" s="1"/>
    </row>
    <row r="54" spans="1:13" ht="9.9499999999999993" customHeight="1" x14ac:dyDescent="0.25">
      <c r="A54" s="56"/>
      <c r="J54" s="57"/>
      <c r="M54" s="1"/>
    </row>
    <row r="55" spans="1:13" x14ac:dyDescent="0.25">
      <c r="A55" s="56"/>
      <c r="B55" s="149" t="s">
        <v>68</v>
      </c>
      <c r="C55" s="150"/>
      <c r="D55" s="150"/>
      <c r="E55" s="150"/>
      <c r="F55" s="150"/>
      <c r="G55" s="150"/>
      <c r="H55" s="150"/>
      <c r="I55" s="151"/>
      <c r="J55" s="57"/>
      <c r="M55" s="1"/>
    </row>
    <row r="56" spans="1:13" ht="75" customHeight="1" x14ac:dyDescent="0.25">
      <c r="A56" s="56"/>
      <c r="B56" s="145" t="s">
        <v>177</v>
      </c>
      <c r="C56" s="145"/>
      <c r="D56" s="145"/>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69985</v>
      </c>
      <c r="F57" s="81">
        <v>69985</v>
      </c>
      <c r="G57" s="82"/>
      <c r="H57" s="114">
        <f>IF($H$56=Lists!$D$8, IFERROR(F57-E57, ""), IF($H$56=Lists!$D$9, IFERROR(G57-E57, ""), IFERROR(G57-F57, "")))</f>
        <v>-69985</v>
      </c>
      <c r="I57" s="83"/>
      <c r="J57" s="57"/>
      <c r="M57" s="1"/>
    </row>
    <row r="58" spans="1:13" x14ac:dyDescent="0.25">
      <c r="A58" s="56"/>
      <c r="B58" s="15" t="s">
        <v>42</v>
      </c>
      <c r="D58" s="16"/>
      <c r="E58" s="81">
        <v>45490</v>
      </c>
      <c r="F58" s="81">
        <v>45490</v>
      </c>
      <c r="G58" s="82"/>
      <c r="H58" s="114">
        <f>IF($H$56=Lists!$D$8, IFERROR(F58-E58, ""), IF($H$56=Lists!$D$9, IFERROR(G58-E58, ""), IFERROR(G58-F58, "")))</f>
        <v>-45490</v>
      </c>
      <c r="I58" s="83"/>
      <c r="J58" s="57"/>
      <c r="M58" s="1"/>
    </row>
    <row r="59" spans="1:13" x14ac:dyDescent="0.25">
      <c r="A59" s="56"/>
      <c r="B59" s="15" t="s">
        <v>43</v>
      </c>
      <c r="D59" s="16"/>
      <c r="E59" s="17">
        <f>IFERROR(E58/E57, "")</f>
        <v>0.64999642780595845</v>
      </c>
      <c r="F59" s="17">
        <f t="shared" ref="F59:G59" si="3">IFERROR(F58/F57, "")</f>
        <v>0.64999642780595845</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35080</v>
      </c>
      <c r="F61" s="82">
        <v>35080</v>
      </c>
      <c r="G61" s="82"/>
      <c r="H61" s="116">
        <f>IF($H$56=Lists!$D$8, IFERROR(F61-E61, ""), IF($H$56=Lists!$D$9, IFERROR(G61-E61, ""), IFERROR(G61-F61, "")))</f>
        <v>-35080</v>
      </c>
      <c r="I61" s="85"/>
      <c r="J61" s="57"/>
      <c r="M61" s="1"/>
    </row>
    <row r="62" spans="1:13" x14ac:dyDescent="0.25">
      <c r="A62" s="56"/>
      <c r="B62" s="15" t="s">
        <v>19</v>
      </c>
      <c r="E62" s="21">
        <f>IFERROR(E91/E57, "")</f>
        <v>498.26144173751516</v>
      </c>
      <c r="F62" s="21">
        <f>IFERROR(F91/F57, "")</f>
        <v>573.40925912695582</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569.94113024219473</v>
      </c>
      <c r="F63" s="22">
        <f>IFERROR(F97/F57, "")</f>
        <v>656.76216332071158</v>
      </c>
      <c r="G63" s="22" t="str">
        <f>IFERROR(G97/G57, "")</f>
        <v/>
      </c>
      <c r="H63" s="117" t="str">
        <f>IF($H$56=Lists!$D$8, IFERROR(F63-E63, ""), IF($H$56=Lists!$D$9, IFERROR(G63-E63, ""), IFERROR(G63-F63, "")))</f>
        <v/>
      </c>
      <c r="I63" s="88"/>
      <c r="J63" s="57"/>
      <c r="K63" s="87"/>
    </row>
    <row r="64" spans="1:13" x14ac:dyDescent="0.25">
      <c r="A64" s="56"/>
      <c r="B64" s="146" t="s">
        <v>5</v>
      </c>
      <c r="C64" s="147"/>
      <c r="D64" s="147"/>
      <c r="E64" s="147"/>
      <c r="F64" s="147"/>
      <c r="G64" s="147"/>
      <c r="H64" s="147"/>
      <c r="I64" s="148"/>
      <c r="J64" s="57"/>
    </row>
    <row r="65" spans="1:10" x14ac:dyDescent="0.25">
      <c r="A65" s="56"/>
      <c r="B65" s="12" t="s">
        <v>6</v>
      </c>
      <c r="C65" s="13"/>
      <c r="D65" s="14"/>
      <c r="E65" s="89">
        <v>43435</v>
      </c>
      <c r="F65" s="89">
        <v>43800</v>
      </c>
      <c r="G65" s="90">
        <v>43409</v>
      </c>
      <c r="H65" s="114" t="str">
        <f>IF(SUM(E65:G65)=0, "", IF($H$56=Lists!$D$8, IFERROR(MROUND(CONVERT(F65-E65,"day","yr")*12, 0.5)&amp;" mo.", ""), IF($H$56=Lists!$D$9, IFERROR(MROUND(CONVERT(G65-E65,"day","yr")*12, 0.5)&amp;" mo.", ""), IFERROR(MROUND(CONVERT(G65-F65,"day","yr")*12, 0.5)&amp;" mo.", ""))))</f>
        <v/>
      </c>
      <c r="I65" s="83" t="s">
        <v>219</v>
      </c>
      <c r="J65" s="57"/>
    </row>
    <row r="66" spans="1:10" x14ac:dyDescent="0.25">
      <c r="A66" s="56"/>
      <c r="B66" s="15" t="s">
        <v>7</v>
      </c>
      <c r="D66" s="16"/>
      <c r="E66" s="89">
        <v>43466</v>
      </c>
      <c r="F66" s="89">
        <v>43831</v>
      </c>
      <c r="G66" s="90">
        <v>43410</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v>44544</v>
      </c>
      <c r="H67" s="114" t="str">
        <f>IF(SUM(E67:G67)=0, "", IF($H$56=Lists!$D$8, IFERROR(MROUND(CONVERT(F67-E67,"day","yr")*12, 0.5)&amp;" mo.", ""), IF($H$56=Lists!$D$9, IFERROR(MROUND(CONVERT(G67-E67,"day","yr")*12, 0.5)&amp;" mo.", ""), IFERROR(MROUND(CONVERT(G67-F67,"day","yr")*12, 0.5)&amp;" mo.", ""))))</f>
        <v>1463.5 mo.</v>
      </c>
      <c r="I67" s="83"/>
      <c r="J67" s="57"/>
    </row>
    <row r="68" spans="1:10" x14ac:dyDescent="0.25">
      <c r="A68" s="56"/>
      <c r="B68" s="15" t="s">
        <v>66</v>
      </c>
      <c r="D68" s="16"/>
      <c r="E68" s="89">
        <v>43922</v>
      </c>
      <c r="F68" s="89">
        <v>44378</v>
      </c>
      <c r="G68" s="90">
        <v>44586</v>
      </c>
      <c r="H68" s="114" t="str">
        <f>IF(SUM(E68:G68)=0, "", IF($H$56=Lists!$D$8, IFERROR(MROUND(CONVERT(F68-E68,"day","yr")*12, 0.5)&amp;" mo.", ""), IF($H$56=Lists!$D$9, IFERROR(MROUND(CONVERT(G68-E68,"day","yr")*12, 0.5)&amp;" mo.", ""), IFERROR(MROUND(CONVERT(G68-F68,"day","yr")*12, 0.5)&amp;" mo.", ""))))</f>
        <v>7 mo.</v>
      </c>
      <c r="I68" s="83"/>
      <c r="J68" s="57"/>
    </row>
    <row r="69" spans="1:10" x14ac:dyDescent="0.25">
      <c r="A69" s="56"/>
      <c r="B69" s="15" t="s">
        <v>8</v>
      </c>
      <c r="D69" s="16"/>
      <c r="E69" s="89">
        <v>44409</v>
      </c>
      <c r="F69" s="89">
        <v>44835</v>
      </c>
      <c r="G69" s="90">
        <v>45356</v>
      </c>
      <c r="H69" s="114" t="str">
        <f>IF(SUM(E69:G69)=0, "", IF($H$56=Lists!$D$8, IFERROR(MROUND(CONVERT(F69-E69,"day","yr")*12, 0.5)&amp;" mo.", ""), IF($H$56=Lists!$D$9, IFERROR(MROUND(CONVERT(G69-E69,"day","yr")*12, 0.5)&amp;" mo.", ""), IFERROR(MROUND(CONVERT(G69-F69,"day","yr")*12, 0.5)&amp;" mo.", ""))))</f>
        <v>17 mo.</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5" t="s">
        <v>152</v>
      </c>
      <c r="B72" s="156"/>
      <c r="C72" s="156"/>
      <c r="D72" s="156"/>
      <c r="E72" s="156"/>
      <c r="F72" s="156"/>
      <c r="G72" s="156"/>
      <c r="H72" s="156"/>
      <c r="I72" s="156"/>
      <c r="J72" s="157"/>
    </row>
    <row r="73" spans="1:10" ht="9.9499999999999993" customHeight="1" thickTop="1" x14ac:dyDescent="0.25">
      <c r="A73" s="56"/>
      <c r="B73" s="33"/>
      <c r="C73" s="33"/>
      <c r="D73" s="33"/>
      <c r="E73" s="26"/>
      <c r="F73" s="26"/>
      <c r="G73" s="26"/>
      <c r="H73" s="27"/>
      <c r="I73" s="94"/>
      <c r="J73" s="57"/>
    </row>
    <row r="74" spans="1:10" ht="75" customHeight="1" x14ac:dyDescent="0.25">
      <c r="A74" s="56"/>
      <c r="B74" s="145" t="s">
        <v>177</v>
      </c>
      <c r="C74" s="145"/>
      <c r="D74" s="145"/>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9" t="s">
        <v>11</v>
      </c>
      <c r="C75" s="150"/>
      <c r="D75" s="150"/>
      <c r="E75" s="150"/>
      <c r="F75" s="150"/>
      <c r="G75" s="150"/>
      <c r="H75" s="150"/>
      <c r="I75" s="151"/>
      <c r="J75" s="57"/>
    </row>
    <row r="76" spans="1:10" x14ac:dyDescent="0.25">
      <c r="A76" s="56"/>
      <c r="B76" s="166" t="s">
        <v>50</v>
      </c>
      <c r="C76" s="167"/>
      <c r="D76" s="168"/>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9" t="s">
        <v>12</v>
      </c>
      <c r="C78" s="150"/>
      <c r="D78" s="150"/>
      <c r="E78" s="150"/>
      <c r="F78" s="150"/>
      <c r="G78" s="150"/>
      <c r="H78" s="150"/>
      <c r="I78" s="151"/>
      <c r="J78" s="57"/>
    </row>
    <row r="79" spans="1:10" x14ac:dyDescent="0.25">
      <c r="A79" s="56"/>
      <c r="B79" s="12" t="s">
        <v>44</v>
      </c>
      <c r="C79" s="13"/>
      <c r="D79" s="14"/>
      <c r="E79" s="97">
        <v>447759</v>
      </c>
      <c r="F79" s="97">
        <v>462974</v>
      </c>
      <c r="G79" s="98">
        <v>472113</v>
      </c>
      <c r="H79" s="31">
        <f>IF($H$56=Lists!$D$8, IFERROR(F79-E79, ""), IF($H$56=Lists!$D$9, IFERROR(G79-E79, ""), IFERROR(G79-F79, "")))</f>
        <v>9139</v>
      </c>
      <c r="I79" s="83"/>
      <c r="J79" s="57"/>
    </row>
    <row r="80" spans="1:10" x14ac:dyDescent="0.25">
      <c r="A80" s="56"/>
      <c r="B80" s="15" t="s">
        <v>165</v>
      </c>
      <c r="D80" s="16"/>
      <c r="E80" s="97">
        <v>1647664</v>
      </c>
      <c r="F80" s="97">
        <v>1901671</v>
      </c>
      <c r="G80" s="98">
        <v>1412997</v>
      </c>
      <c r="H80" s="31">
        <f>IF($H$56=Lists!$D$8, IFERROR(F80-E80, ""), IF($H$56=Lists!$D$9, IFERROR(G80-E80, ""), IFERROR(G80-F80, "")))</f>
        <v>-488674</v>
      </c>
      <c r="I80" s="83"/>
      <c r="J80" s="57"/>
    </row>
    <row r="81" spans="1:12" x14ac:dyDescent="0.25">
      <c r="A81" s="56"/>
      <c r="B81" s="15" t="s">
        <v>167</v>
      </c>
      <c r="D81" s="16"/>
      <c r="E81" s="97">
        <v>1722868</v>
      </c>
      <c r="F81" s="97">
        <v>880996</v>
      </c>
      <c r="G81" s="98">
        <v>1000720.15</v>
      </c>
      <c r="H81" s="31">
        <f>IF($H$56=Lists!$D$8, IFERROR(F81-E81, ""), IF($H$56=Lists!$D$9, IFERROR(G81-E81, ""), IFERROR(G81-F81, "")))</f>
        <v>119724.15000000002</v>
      </c>
      <c r="I81" s="83"/>
      <c r="J81" s="57"/>
    </row>
    <row r="82" spans="1:12" x14ac:dyDescent="0.25">
      <c r="A82" s="56"/>
      <c r="B82" s="15" t="s">
        <v>166</v>
      </c>
      <c r="D82" s="16"/>
      <c r="E82" s="97">
        <v>770897</v>
      </c>
      <c r="F82" s="97">
        <v>835045.77259999991</v>
      </c>
      <c r="G82" s="97">
        <v>614047</v>
      </c>
      <c r="H82" s="31">
        <f>IF($H$56=Lists!$D$8, IFERROR(F82-E82, ""), IF($H$56=Lists!$D$9, IFERROR(G82-E82, ""), IFERROR(G82-F82, "")))</f>
        <v>-220998.77259999991</v>
      </c>
      <c r="I82" s="83"/>
      <c r="J82" s="57"/>
    </row>
    <row r="83" spans="1:12" x14ac:dyDescent="0.25">
      <c r="A83" s="56"/>
      <c r="B83" s="15" t="s">
        <v>168</v>
      </c>
      <c r="D83" s="16"/>
      <c r="E83" s="97">
        <v>700953</v>
      </c>
      <c r="F83" s="97">
        <v>174285</v>
      </c>
      <c r="G83" s="97">
        <v>179292</v>
      </c>
      <c r="H83" s="32">
        <f>IF($H$56=Lists!$D$8, IFERROR(F83-E83, ""), IF($H$56=Lists!$D$9, IFERROR(G83-E83, ""), IFERROR(G83-F83, "")))</f>
        <v>5007</v>
      </c>
      <c r="I83" s="83"/>
      <c r="J83" s="57"/>
    </row>
    <row r="84" spans="1:12" x14ac:dyDescent="0.25">
      <c r="A84" s="56"/>
      <c r="B84" s="15" t="s">
        <v>13</v>
      </c>
      <c r="D84" s="16"/>
      <c r="E84" s="97">
        <v>272442</v>
      </c>
      <c r="F84" s="97">
        <v>213544</v>
      </c>
      <c r="G84" s="98"/>
      <c r="H84" s="31">
        <f>IF($H$56=Lists!$D$8, IFERROR(F84-E84, ""), IF($H$56=Lists!$D$9, IFERROR(G84-E84, ""), IFERROR(G84-F84, "")))</f>
        <v>-213544</v>
      </c>
      <c r="I84" s="99"/>
      <c r="J84" s="57"/>
    </row>
    <row r="85" spans="1:12" x14ac:dyDescent="0.25">
      <c r="A85" s="56"/>
      <c r="B85" s="207" t="s">
        <v>14</v>
      </c>
      <c r="C85" s="208"/>
      <c r="D85" s="209"/>
      <c r="E85" s="34">
        <f>SUM(E79:E84)</f>
        <v>5562583</v>
      </c>
      <c r="F85" s="34">
        <f>SUM(F79:F84)</f>
        <v>4468515.7725999998</v>
      </c>
      <c r="G85" s="34">
        <f>SUM(G79:G84)</f>
        <v>3679169.15</v>
      </c>
      <c r="H85" s="35">
        <f>IF($H$56=Lists!$D$8, IFERROR(F85-E85, ""), IF($H$56=Lists!$D$9, IFERROR(G85-E85, ""), IFERROR(G85-F85, "")))</f>
        <v>-789346.62259999989</v>
      </c>
      <c r="I85" s="100"/>
      <c r="J85" s="57"/>
    </row>
    <row r="86" spans="1:12" ht="9.9499999999999993" customHeight="1" x14ac:dyDescent="0.25">
      <c r="A86" s="56"/>
      <c r="J86" s="57"/>
    </row>
    <row r="87" spans="1:12" x14ac:dyDescent="0.25">
      <c r="A87" s="56"/>
      <c r="B87" s="149" t="s">
        <v>15</v>
      </c>
      <c r="C87" s="150"/>
      <c r="D87" s="150"/>
      <c r="E87" s="150"/>
      <c r="F87" s="150"/>
      <c r="G87" s="150"/>
      <c r="H87" s="150"/>
      <c r="I87" s="151"/>
      <c r="J87" s="57"/>
    </row>
    <row r="88" spans="1:12" ht="14.45" customHeight="1" x14ac:dyDescent="0.25">
      <c r="A88" s="56"/>
      <c r="B88" s="12" t="s">
        <v>45</v>
      </c>
      <c r="C88" s="13"/>
      <c r="D88" s="14"/>
      <c r="E88" s="97">
        <v>3270752</v>
      </c>
      <c r="F88" s="97">
        <v>3561411</v>
      </c>
      <c r="G88" s="98">
        <f>2362617+369019+1266960-623000</f>
        <v>3375596</v>
      </c>
      <c r="H88" s="36">
        <f>IF($H$56=Lists!$D$8, IFERROR(F88-E88, ""), IF($H$56=Lists!$D$9, IFERROR(G88-E88, ""), IFERROR(G88-F88, "")))</f>
        <v>-185815</v>
      </c>
      <c r="I88" s="83"/>
      <c r="J88" s="57"/>
      <c r="L88" s="130"/>
    </row>
    <row r="89" spans="1:12" x14ac:dyDescent="0.25">
      <c r="A89" s="56"/>
      <c r="B89" s="15" t="s">
        <v>46</v>
      </c>
      <c r="D89" s="16"/>
      <c r="E89" s="97"/>
      <c r="F89" s="97"/>
      <c r="G89" s="98"/>
      <c r="H89" s="36">
        <f>IF($H$56=Lists!$D$8, IFERROR(F89-E89, ""), IF($H$56=Lists!$D$9, IFERROR(G89-E89, ""), IFERROR(G89-F89, "")))</f>
        <v>0</v>
      </c>
      <c r="I89" s="99"/>
      <c r="J89" s="57"/>
      <c r="L89" s="130"/>
    </row>
    <row r="90" spans="1:12" x14ac:dyDescent="0.25">
      <c r="A90" s="56"/>
      <c r="B90" s="15" t="s">
        <v>47</v>
      </c>
      <c r="D90" s="16"/>
      <c r="E90" s="97">
        <v>31600075</v>
      </c>
      <c r="F90" s="97">
        <v>36568636</v>
      </c>
      <c r="G90" s="97">
        <v>35521790.920000002</v>
      </c>
      <c r="H90" s="37">
        <f>IF($H$56=Lists!$D$8, IFERROR(F90-E90, ""), IF($H$56=Lists!$D$9, IFERROR(G90-E90, ""), IFERROR(G90-F90, "")))</f>
        <v>-1046845.0799999982</v>
      </c>
      <c r="I90" s="99"/>
      <c r="J90" s="57"/>
    </row>
    <row r="91" spans="1:12" x14ac:dyDescent="0.25">
      <c r="A91" s="56"/>
      <c r="B91" s="204" t="s">
        <v>51</v>
      </c>
      <c r="C91" s="205"/>
      <c r="D91" s="206"/>
      <c r="E91" s="38">
        <f>SUM(E88:E90)</f>
        <v>34870827</v>
      </c>
      <c r="F91" s="38">
        <f t="shared" ref="F91" si="5">SUM(F88:F90)</f>
        <v>40130047</v>
      </c>
      <c r="G91" s="38">
        <f>SUM(G88:G90)</f>
        <v>38897386.920000002</v>
      </c>
      <c r="H91" s="36">
        <f>IF($H$56=Lists!$D$8, IFERROR(F91-E91, ""), IF($H$56=Lists!$D$9, IFERROR(G91-E91, ""), IFERROR(G91-F91, "")))</f>
        <v>-1232660.0799999982</v>
      </c>
      <c r="I91" s="100"/>
      <c r="J91" s="57"/>
      <c r="K91" s="130"/>
    </row>
    <row r="92" spans="1:12" x14ac:dyDescent="0.25">
      <c r="A92" s="56"/>
      <c r="B92" s="15" t="s">
        <v>48</v>
      </c>
      <c r="D92" s="16"/>
      <c r="E92" s="97">
        <v>1746569</v>
      </c>
      <c r="F92" s="97">
        <v>2007375</v>
      </c>
      <c r="G92" s="98">
        <v>1768016</v>
      </c>
      <c r="H92" s="36">
        <f>IF($H$56=Lists!$D$8, IFERROR(F92-E92, ""), IF($H$56=Lists!$D$9, IFERROR(G92-E92, ""), IFERROR(G92-F92, "")))</f>
        <v>-239359</v>
      </c>
      <c r="I92" s="99"/>
      <c r="J92" s="57"/>
    </row>
    <row r="93" spans="1:12" x14ac:dyDescent="0.25">
      <c r="A93" s="56"/>
      <c r="B93" s="15" t="s">
        <v>49</v>
      </c>
      <c r="D93" s="16"/>
      <c r="E93" s="97"/>
      <c r="F93" s="97"/>
      <c r="G93" s="97">
        <v>128463</v>
      </c>
      <c r="H93" s="36">
        <f>IF($H$56=Lists!$D$8, IFERROR(F93-E93, ""), IF($H$56=Lists!$D$9, IFERROR(G93-E93, ""), IFERROR(G93-F93, "")))</f>
        <v>128463</v>
      </c>
      <c r="I93" s="99" t="s">
        <v>220</v>
      </c>
      <c r="J93" s="57"/>
    </row>
    <row r="94" spans="1:12" x14ac:dyDescent="0.25">
      <c r="A94" s="56"/>
      <c r="B94" s="15" t="s">
        <v>40</v>
      </c>
      <c r="D94" s="16"/>
      <c r="E94" s="97">
        <v>3269934</v>
      </c>
      <c r="F94" s="97">
        <v>3826078</v>
      </c>
      <c r="G94" s="97">
        <v>3704083.08</v>
      </c>
      <c r="H94" s="36">
        <f>IF($H$56=Lists!$D$8, IFERROR(F94-E94, ""), IF($H$56=Lists!$D$9, IFERROR(G94-E94, ""), IFERROR(G94-F94, "")))</f>
        <v>-121994.91999999993</v>
      </c>
      <c r="I94" s="99"/>
      <c r="J94" s="57"/>
    </row>
    <row r="95" spans="1:12"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2" x14ac:dyDescent="0.25">
      <c r="A96" s="56"/>
      <c r="B96" s="15" t="str">
        <f>IF(C53=Lists!J3, "GCCM Risk Contingency", "")</f>
        <v/>
      </c>
      <c r="D96" s="16"/>
      <c r="E96" s="97"/>
      <c r="F96" s="97"/>
      <c r="G96" s="97"/>
      <c r="H96" s="36">
        <f>IF($H$56=Lists!$D$8, IFERROR(F96-E96, ""), IF($H$56=Lists!$D$9, IFERROR(G96-E96, ""), IFERROR(G96-F96, "")))</f>
        <v>0</v>
      </c>
      <c r="I96" s="99"/>
      <c r="J96" s="57"/>
      <c r="L96" s="131"/>
    </row>
    <row r="97" spans="1:12" x14ac:dyDescent="0.25">
      <c r="A97" s="56"/>
      <c r="B97" s="207" t="s">
        <v>52</v>
      </c>
      <c r="C97" s="208"/>
      <c r="D97" s="209"/>
      <c r="E97" s="38">
        <f>SUM(E91:E96)</f>
        <v>39887330</v>
      </c>
      <c r="F97" s="38">
        <f t="shared" ref="F97:G97" si="6">SUM(F91:F96)</f>
        <v>45963500</v>
      </c>
      <c r="G97" s="38">
        <f t="shared" si="6"/>
        <v>44497949</v>
      </c>
      <c r="H97" s="39">
        <f>IF($H$56=Lists!$D$8, IFERROR(F97-E97, ""), IF($H$56=Lists!$D$9, IFERROR(G97-E97, ""), IFERROR(G97-F97, "")))</f>
        <v>-1465551</v>
      </c>
      <c r="I97" s="84"/>
      <c r="J97" s="57"/>
    </row>
    <row r="98" spans="1:12" ht="9.9499999999999993" customHeight="1" x14ac:dyDescent="0.25">
      <c r="A98" s="56"/>
      <c r="J98" s="57"/>
      <c r="L98" s="130"/>
    </row>
    <row r="99" spans="1:12" x14ac:dyDescent="0.25">
      <c r="A99" s="56"/>
      <c r="B99" s="149" t="s">
        <v>16</v>
      </c>
      <c r="C99" s="150"/>
      <c r="D99" s="150"/>
      <c r="E99" s="150"/>
      <c r="F99" s="150"/>
      <c r="G99" s="150"/>
      <c r="H99" s="150"/>
      <c r="I99" s="151"/>
      <c r="J99" s="57"/>
    </row>
    <row r="100" spans="1:12" x14ac:dyDescent="0.25">
      <c r="A100" s="56"/>
      <c r="B100" s="40" t="s">
        <v>17</v>
      </c>
      <c r="D100" s="16"/>
      <c r="E100" s="101">
        <v>2769056</v>
      </c>
      <c r="F100" s="101">
        <v>982761</v>
      </c>
      <c r="G100" s="102">
        <v>953001.9</v>
      </c>
      <c r="H100" s="41">
        <f>IF($H$56=Lists!$D$8, IFERROR(F100-E100, ""), IF($H$56=Lists!$D$9, IFERROR(G100-E100, ""), IFERROR(G100-F100, "")))</f>
        <v>-29759.099999999977</v>
      </c>
      <c r="I100" s="103"/>
      <c r="J100" s="104"/>
    </row>
    <row r="101" spans="1:12" x14ac:dyDescent="0.25">
      <c r="A101" s="56"/>
      <c r="B101" s="40" t="s">
        <v>18</v>
      </c>
      <c r="D101" s="16"/>
      <c r="E101" s="101">
        <v>174354</v>
      </c>
      <c r="F101" s="101">
        <v>258096</v>
      </c>
      <c r="G101" s="102">
        <v>41317</v>
      </c>
      <c r="H101" s="41">
        <f>IF($H$56=Lists!$D$8, IFERROR(F101-E101, ""), IF($H$56=Lists!$D$9, IFERROR(G101-E101, ""), IFERROR(G101-F101, "")))</f>
        <v>-216779</v>
      </c>
      <c r="I101" s="103"/>
      <c r="J101" s="104"/>
    </row>
    <row r="102" spans="1:12" x14ac:dyDescent="0.25">
      <c r="A102" s="56"/>
      <c r="B102" s="40" t="s">
        <v>53</v>
      </c>
      <c r="D102" s="16"/>
      <c r="E102" s="97">
        <v>204183</v>
      </c>
      <c r="F102" s="97">
        <v>203862</v>
      </c>
      <c r="G102" s="98">
        <v>108363.33</v>
      </c>
      <c r="H102" s="42">
        <f>IF($H$56=Lists!$D$8, IFERROR(F102-E102, ""), IF($H$56=Lists!$D$9, IFERROR(G102-E102, ""), IFERROR(G102-F102, "")))</f>
        <v>-95498.67</v>
      </c>
      <c r="I102" s="83" t="s">
        <v>221</v>
      </c>
      <c r="J102" s="57"/>
    </row>
    <row r="103" spans="1:12" x14ac:dyDescent="0.25">
      <c r="A103" s="56"/>
      <c r="B103" s="40" t="s">
        <v>147</v>
      </c>
      <c r="D103" s="16"/>
      <c r="E103" s="97">
        <v>415975</v>
      </c>
      <c r="F103" s="97"/>
      <c r="G103" s="105"/>
      <c r="H103" s="43">
        <f>IF($H$56=Lists!$D$8, IFERROR(F103-E103, ""), IF($H$56=Lists!$D$9, IFERROR(G103-E103, ""), IFERROR(G103-F103, "")))</f>
        <v>0</v>
      </c>
      <c r="I103" s="103"/>
      <c r="J103" s="104"/>
    </row>
    <row r="104" spans="1:12" ht="15.75" thickBot="1" x14ac:dyDescent="0.3">
      <c r="A104" s="56"/>
      <c r="B104" s="210" t="s">
        <v>54</v>
      </c>
      <c r="C104" s="211"/>
      <c r="D104" s="212"/>
      <c r="E104" s="44">
        <f>SUM(E100:E103)</f>
        <v>3563568</v>
      </c>
      <c r="F104" s="44">
        <f>SUM(F100:F103)</f>
        <v>1444719</v>
      </c>
      <c r="G104" s="44">
        <f>SUM(G100:G103)</f>
        <v>1102682.23</v>
      </c>
      <c r="H104" s="39">
        <f>IF($H$56=Lists!$D$8, IFERROR(F104-E104, ""), IF($H$56=Lists!$D$9, IFERROR(G104-E104, ""), IFERROR(G104-F104, "")))</f>
        <v>-342036.77</v>
      </c>
      <c r="I104" s="106"/>
      <c r="J104" s="104"/>
    </row>
    <row r="105" spans="1:12" ht="20.25" thickTop="1" thickBot="1" x14ac:dyDescent="0.35">
      <c r="A105" s="56"/>
      <c r="B105" s="107" t="s">
        <v>145</v>
      </c>
      <c r="C105" s="108"/>
      <c r="D105" s="108"/>
      <c r="E105" s="109">
        <f>SUM(E76,E85,E97,E104)</f>
        <v>49013481</v>
      </c>
      <c r="F105" s="109">
        <f>SUM(F76,F85,F97,F104)</f>
        <v>51876734.772600003</v>
      </c>
      <c r="G105" s="109">
        <f>SUM(G76,G85,G97,G104)</f>
        <v>49279800.379999995</v>
      </c>
      <c r="H105" s="109">
        <f>SUM(H76,H85,H97,H104)</f>
        <v>-2596934.3925999999</v>
      </c>
      <c r="I105" s="110"/>
      <c r="J105" s="104"/>
    </row>
    <row r="106" spans="1:12" ht="9.9499999999999993" customHeight="1" thickTop="1" x14ac:dyDescent="0.25">
      <c r="A106" s="56"/>
      <c r="B106" s="45"/>
      <c r="C106" s="45"/>
      <c r="D106" s="45"/>
      <c r="E106" s="46"/>
      <c r="F106" s="46"/>
      <c r="G106" s="46"/>
      <c r="H106" s="46"/>
      <c r="I106" s="111"/>
      <c r="J106" s="104"/>
    </row>
    <row r="107" spans="1:12" s="1" customFormat="1" x14ac:dyDescent="0.25">
      <c r="A107" s="60"/>
      <c r="B107" s="152" t="str">
        <f>IF(ReportType=Lists!$O$2, "", "Close-Out Information")</f>
        <v/>
      </c>
      <c r="C107" s="153"/>
      <c r="D107" s="153"/>
      <c r="E107" s="153"/>
      <c r="F107" s="153"/>
      <c r="G107" s="153"/>
      <c r="H107" s="153"/>
      <c r="I107" s="154"/>
      <c r="J107" s="61"/>
    </row>
    <row r="108" spans="1:12" s="1" customFormat="1" x14ac:dyDescent="0.25">
      <c r="A108" s="60"/>
      <c r="B108" s="47"/>
      <c r="C108" s="220"/>
      <c r="D108" s="220"/>
      <c r="E108" s="220" t="str">
        <f>IF(ReportType=Lists!$O$2, "", "NOTES")</f>
        <v/>
      </c>
      <c r="F108" s="220"/>
      <c r="G108" s="220"/>
      <c r="H108" s="220"/>
      <c r="I108" s="165"/>
      <c r="J108" s="61"/>
    </row>
    <row r="109" spans="1:12" ht="15" customHeight="1" x14ac:dyDescent="0.25">
      <c r="A109" s="56"/>
      <c r="B109" s="80" t="str">
        <f>IF(ReportType=Lists!$O$2, "", "Number of Change Orders")</f>
        <v/>
      </c>
      <c r="C109" s="213"/>
      <c r="D109" s="214"/>
      <c r="E109" s="217"/>
      <c r="F109" s="218"/>
      <c r="G109" s="218"/>
      <c r="H109" s="218"/>
      <c r="I109" s="219"/>
      <c r="J109" s="57"/>
    </row>
    <row r="110" spans="1:12" ht="15" customHeight="1" x14ac:dyDescent="0.25">
      <c r="A110" s="56"/>
      <c r="B110" s="80" t="str">
        <f>IF(ReportType=Lists!$O$2, "", "Total Value of Change Orders")</f>
        <v/>
      </c>
      <c r="C110" s="221"/>
      <c r="D110" s="222"/>
      <c r="E110" s="120"/>
      <c r="F110" s="121"/>
      <c r="G110" s="121"/>
      <c r="H110" s="121"/>
      <c r="I110" s="122"/>
      <c r="J110" s="57"/>
    </row>
    <row r="111" spans="1:12" ht="15" customHeight="1" x14ac:dyDescent="0.25">
      <c r="A111" s="56"/>
      <c r="B111" s="80" t="str">
        <f>IF(ReportType=Lists!$O$2, "", "Outstanding Liabilities")</f>
        <v/>
      </c>
      <c r="C111" s="221"/>
      <c r="D111" s="222"/>
      <c r="E111" s="120"/>
      <c r="F111" s="121"/>
      <c r="G111" s="121"/>
      <c r="H111" s="121"/>
      <c r="I111" s="122"/>
      <c r="J111" s="57"/>
    </row>
    <row r="112" spans="1:12"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20</v>
      </c>
      <c r="J114" s="57"/>
    </row>
    <row r="115" spans="1:10" x14ac:dyDescent="0.25">
      <c r="A115" s="56"/>
      <c r="B115" s="195" t="s">
        <v>227</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91 A95:J109 A92:D94 H92:J94">
    <cfRule type="expression" dxfId="3" priority="4">
      <formula>CELL("PROTECT", A1)=0</formula>
    </cfRule>
  </conditionalFormatting>
  <conditionalFormatting sqref="E95:I96">
    <cfRule type="expression" dxfId="2" priority="3">
      <formula>$B95=""</formula>
    </cfRule>
  </conditionalFormatting>
  <conditionalFormatting sqref="E92:G94">
    <cfRule type="expression" dxfId="1" priority="1">
      <formula>CELL("PROTECT", E92)=0</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V18" sqref="V18"/>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view="pageLayout" zoomScaleNormal="100" workbookViewId="0">
      <selection activeCell="A3" sqref="A3"/>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
  <sheetViews>
    <sheetView showGridLines="0" topLeftCell="A42" workbookViewId="0">
      <selection activeCell="Z37" sqref="Z37"/>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mergeCells count="1">
    <mergeCell ref="A1:R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QuickStartGuide</vt:lpstr>
      <vt:lpstr>Major Project Report</vt:lpstr>
      <vt:lpstr>Photo Gallery</vt:lpstr>
      <vt:lpstr>Photo Gallery (2)</vt:lpstr>
      <vt:lpstr>Photo Gallery (3)</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2024-06-18T20:04:49Z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