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1205617B-D9AF-45D3-A31C-30C95EE641BA}"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C33" i="3"/>
  <c r="D33" i="3"/>
  <c r="E33" i="3"/>
  <c r="F33" i="3"/>
  <c r="G33" i="3"/>
  <c r="G48" i="3" s="1"/>
  <c r="H34" i="3"/>
  <c r="H35" i="3"/>
  <c r="H36" i="3"/>
  <c r="H37" i="3"/>
  <c r="C38" i="3"/>
  <c r="H38" i="3" s="1"/>
  <c r="D38" i="3"/>
  <c r="E38" i="3"/>
  <c r="F38" i="3"/>
  <c r="G38" i="3"/>
  <c r="H39" i="3"/>
  <c r="H40" i="3"/>
  <c r="H41" i="3"/>
  <c r="H42" i="3"/>
  <c r="C43" i="3"/>
  <c r="D43" i="3"/>
  <c r="F43" i="3"/>
  <c r="F48" i="3" s="1"/>
  <c r="G43" i="3"/>
  <c r="E44" i="3"/>
  <c r="H44" i="3" s="1"/>
  <c r="H45" i="3"/>
  <c r="C46" i="3"/>
  <c r="E46" i="3" s="1"/>
  <c r="H47" i="3"/>
  <c r="G56" i="3"/>
  <c r="G57" i="3"/>
  <c r="H57" i="3"/>
  <c r="H58" i="3"/>
  <c r="E59" i="3"/>
  <c r="F59" i="3"/>
  <c r="G59" i="3"/>
  <c r="H59" i="3"/>
  <c r="H60" i="3"/>
  <c r="H61" i="3"/>
  <c r="H65" i="3"/>
  <c r="H66" i="3"/>
  <c r="H67" i="3"/>
  <c r="H68" i="3"/>
  <c r="H69" i="3"/>
  <c r="H70" i="3"/>
  <c r="G74" i="3"/>
  <c r="H74" i="3"/>
  <c r="H76" i="3"/>
  <c r="H79" i="3"/>
  <c r="H80" i="3"/>
  <c r="H81" i="3"/>
  <c r="F82" i="3"/>
  <c r="F85" i="3" s="1"/>
  <c r="H82" i="3"/>
  <c r="F83" i="3"/>
  <c r="H83" i="3"/>
  <c r="H84" i="3"/>
  <c r="E85" i="3"/>
  <c r="G85" i="3"/>
  <c r="H88" i="3"/>
  <c r="H89" i="3"/>
  <c r="H90" i="3"/>
  <c r="E91" i="3"/>
  <c r="E62" i="3" s="1"/>
  <c r="F91" i="3"/>
  <c r="F62" i="3" s="1"/>
  <c r="G91" i="3"/>
  <c r="G62" i="3" s="1"/>
  <c r="H62" i="3" s="1"/>
  <c r="H91" i="3"/>
  <c r="H92" i="3"/>
  <c r="H93" i="3"/>
  <c r="H94" i="3"/>
  <c r="H95" i="3"/>
  <c r="H96" i="3"/>
  <c r="H100" i="3"/>
  <c r="H101" i="3"/>
  <c r="H102" i="3"/>
  <c r="H103" i="3"/>
  <c r="E104" i="3"/>
  <c r="F104" i="3"/>
  <c r="G104" i="3"/>
  <c r="H104" i="3" s="1"/>
  <c r="E108" i="3"/>
  <c r="D48" i="3" l="1"/>
  <c r="E43" i="3"/>
  <c r="E48" i="3" s="1"/>
  <c r="H85" i="3"/>
  <c r="H43" i="3"/>
  <c r="C48" i="3"/>
  <c r="H48" i="3" s="1"/>
  <c r="F97" i="3"/>
  <c r="F63" i="3" s="1"/>
  <c r="H46" i="3"/>
  <c r="E97" i="3"/>
  <c r="G97" i="3"/>
  <c r="H33" i="3"/>
  <c r="M26" i="4"/>
  <c r="M3" i="4"/>
  <c r="M4" i="4"/>
  <c r="M5" i="4"/>
  <c r="M6" i="4"/>
  <c r="M7" i="4"/>
  <c r="M8" i="4"/>
  <c r="M9" i="4"/>
  <c r="M10" i="4"/>
  <c r="M11" i="4"/>
  <c r="M12" i="4"/>
  <c r="M13" i="4"/>
  <c r="M14" i="4"/>
  <c r="M15" i="4"/>
  <c r="M16" i="4"/>
  <c r="M17" i="4"/>
  <c r="M18" i="4"/>
  <c r="M19" i="4"/>
  <c r="M20" i="4"/>
  <c r="M21" i="4"/>
  <c r="M22" i="4"/>
  <c r="M23" i="4"/>
  <c r="M24" i="4"/>
  <c r="M25" i="4"/>
  <c r="G105" i="3" l="1"/>
  <c r="H97" i="3"/>
  <c r="G63" i="3"/>
  <c r="H63" i="3" s="1"/>
  <c r="E63" i="3"/>
  <c r="E105" i="3"/>
  <c r="H105" i="3"/>
  <c r="F105" i="3"/>
  <c r="B112" i="3"/>
  <c r="B111" i="3"/>
  <c r="B110" i="3"/>
  <c r="B107" i="3"/>
  <c r="B109" i="3"/>
  <c r="B96" i="3" l="1"/>
  <c r="B95" i="3"/>
</calcChain>
</file>

<file path=xl/sharedStrings.xml><?xml version="1.0" encoding="utf-8"?>
<sst xmlns="http://schemas.openxmlformats.org/spreadsheetml/2006/main" count="250" uniqueCount="229">
  <si>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</si>
  <si>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</si>
  <si>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</si>
  <si>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</si>
  <si>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</si>
  <si>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</si>
  <si>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</si>
  <si>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</si>
  <si>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</si>
  <si>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</si>
  <si>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</si>
  <si>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</si>
  <si>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</si>
  <si>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</si>
  <si>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</si>
  <si>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</si>
  <si>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</si>
  <si>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</si>
  <si>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</si>
  <si>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</si>
  <si>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</si>
  <si>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</si>
  <si>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</si>
  <si>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</si>
  <si>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</si>
  <si>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</si>
  <si>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</si>
  <si>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</si>
  <si>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</si>
  <si>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</si>
  <si>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</si>
  <si>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</si>
  <si>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</si>
  <si>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</si>
  <si>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</si>
  <si>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</si>
  <si>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</si>
  <si>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</si>
  <si>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</si>
  <si>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</si>
  <si>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</si>
  <si>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</si>
  <si>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</si>
  <si>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</si>
  <si>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</si>
  <si>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</si>
  <si>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</si>
  <si>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</si>
  <si>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</si>
  <si>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</si>
  <si>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</si>
  <si>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</si>
  <si>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</si>
  <si>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</si>
  <si>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</si>
  <si>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</si>
  <si>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</si>
  <si>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</si>
  <si>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</si>
  <si>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</si>
  <si>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</si>
  <si>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</si>
  <si>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</si>
  <si>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</si>
  <si>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</si>
  <si>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</si>
  <si>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</si>
  <si>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</si>
  <si>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</si>
  <si>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</si>
  <si>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</si>
  <si>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</si>
  <si>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</si>
  <si>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</si>
  <si>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</si>
  <si>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</si>
  <si>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</si>
  <si>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</si>
  <si>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</si>
  <si>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</si>
  <si>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</si>
  <si>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</si>
  <si>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</si>
  <si>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</si>
  <si>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</si>
  <si>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</si>
  <si>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</si>
  <si>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</si>
  <si>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</si>
  <si>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</si>
  <si>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</si>
  <si>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</si>
  <si>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</si>
  <si>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</si>
  <si>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</si>
  <si>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</si>
  <si>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</si>
  <si>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</si>
  <si>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</si>
  <si>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</si>
  <si>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</si>
  <si>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</si>
  <si>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</si>
  <si>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</si>
  <si>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</si>
  <si>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</si>
  <si>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</si>
  <si>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</si>
  <si>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</si>
  <si>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</si>
  <si>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</si>
  <si>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</si>
  <si>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</si>
  <si>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</si>
  <si>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</si>
  <si>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</si>
  <si>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</si>
  <si>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</si>
  <si>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</si>
  <si>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</si>
  <si>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</si>
  <si>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</si>
  <si>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</si>
  <si>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</si>
  <si>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</si>
  <si>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</si>
  <si>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</si>
  <si>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</si>
  <si>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</si>
  <si>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</si>
  <si>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</si>
  <si>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</si>
  <si>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</si>
  <si>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</si>
  <si>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</si>
  <si>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</si>
  <si>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</si>
  <si>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</si>
  <si>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</si>
  <si>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</si>
  <si>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</si>
  <si>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</si>
  <si>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</si>
  <si>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</si>
  <si>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</si>
  <si>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</si>
  <si>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</si>
  <si>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</si>
  <si>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</si>
  <si>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</si>
  <si>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</si>
  <si>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</si>
  <si>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</si>
  <si>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</si>
  <si>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</si>
  <si>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</si>
  <si>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</si>
  <si>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</si>
  <si>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</si>
  <si>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</si>
  <si>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</si>
  <si>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</si>
  <si>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</si>
  <si>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</si>
  <si>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</si>
  <si>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</si>
  <si>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</si>
  <si>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</si>
  <si>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</si>
  <si>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</si>
  <si>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</si>
  <si>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</si>
  <si>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</si>
  <si>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</si>
  <si>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</si>
  <si>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</si>
  <si>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</si>
  <si>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</si>
  <si>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</si>
  <si>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</si>
  <si>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</si>
  <si>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</si>
  <si>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</si>
  <si>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</si>
  <si>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</si>
  <si>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</si>
  <si>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</si>
  <si>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</si>
  <si>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</si>
  <si>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</si>
  <si>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</si>
  <si>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</si>
  <si>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</si>
  <si>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</si>
  <si>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</si>
  <si>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</si>
  <si>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</si>
  <si>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</si>
  <si>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</si>
  <si>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</si>
  <si>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</si>
  <si>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</si>
  <si>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</si>
  <si>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</si>
  <si>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</si>
  <si>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</si>
  <si>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</si>
  <si>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</si>
  <si>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</si>
  <si>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</si>
  <si>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</si>
  <si>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Pierce College Fort Steilacoom Cascade Building Phase 3</t>
  </si>
  <si>
    <t>This project renovates a portion of the Cascade Building on the Pierce College Fort Steilacoom campus. The project chiefly affects three educational programs: Dental Hygiene, Veterinary Technician, and Emergency Medical Technician. The original project request was to build approximately 20,000 SF of new area to move the Veterinary Technician Program and renovate the old space for expansion of the Dental Hygiene and EMT programs. Is also called for a number of smaller space renovations.</t>
  </si>
  <si>
    <t>U98 Bal moved to A02</t>
  </si>
  <si>
    <t>A02</t>
  </si>
  <si>
    <t>N586</t>
  </si>
  <si>
    <t>147 - Local Funds</t>
  </si>
  <si>
    <t>OFM approved</t>
  </si>
  <si>
    <t>1. New construction 36,712 GSF and renovation of Cascade level 1 only 23,260 GSF  2. USF data not available at this time.
Wa Arts Commission: December 2022 - artwork installed July 2022</t>
  </si>
  <si>
    <t>permits, light rental</t>
  </si>
  <si>
    <t>Project still open</t>
  </si>
  <si>
    <t>Glacier SC 9/6/22. The Actuals to date is SC for Cascade Level 1 Renovation.</t>
  </si>
  <si>
    <t>December 2024</t>
  </si>
  <si>
    <t>Jody Corum</t>
  </si>
  <si>
    <t>253-912-3612</t>
  </si>
  <si>
    <t>jorum@pierce.ctc.edu</t>
  </si>
  <si>
    <t>A few issues remain with lighting controls programming and the contractor is working to resolve them. The planned replacement of a significant number of exterior metal panels due to a fault in the anodized manufacture of the panels at the Glacier Building is in process with the replacement panels now complete.  The college is in receipt of O&amp;M and as-built documentation.</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</si>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</sst>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7">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7" xfId="0" applyFont="1" applyBorder="1"/>
    <xf numFmtId="168" fontId="2" fillId="0" borderId="10" xfId="1" applyNumberFormat="1" applyFont="1" applyFill="1" applyBorder="1" applyProtection="1"/>
    <xf numFmtId="0" fontId="0" fillId="0" borderId="38" xfId="0" applyBorder="1" applyAlignment="1">
      <alignment horizontal="right"/>
    </xf>
    <xf numFmtId="3" fontId="1" fillId="2" borderId="43"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39" xfId="0" applyFont="1" applyBorder="1" applyAlignment="1">
      <alignment horizontal="right"/>
    </xf>
    <xf numFmtId="164" fontId="2" fillId="0" borderId="39" xfId="2" applyNumberFormat="1" applyFont="1" applyFill="1" applyBorder="1" applyAlignment="1" applyProtection="1"/>
    <xf numFmtId="164" fontId="0" fillId="0" borderId="39"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3"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4"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6"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39" xfId="0" applyBorder="1" applyAlignment="1">
      <alignment horizontal="left"/>
    </xf>
    <xf numFmtId="0" fontId="0" fillId="0" borderId="36"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2" xfId="0" applyNumberFormat="1" applyFont="1" applyBorder="1"/>
    <xf numFmtId="0" fontId="0" fillId="0" borderId="42"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8" xfId="0" applyFont="1" applyBorder="1" applyAlignment="1" applyProtection="1">
      <alignment horizontal="right"/>
      <protection locked="0"/>
    </xf>
    <xf numFmtId="0" fontId="0" fillId="0" borderId="38"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0" fontId="15"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3" fontId="8" fillId="2" borderId="40"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0" fontId="0" fillId="0" borderId="9"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9" xfId="0" applyFont="1" applyBorder="1" applyAlignment="1">
      <alignment horizontal="center" vertical="center" wrapText="1"/>
    </xf>
    <xf numFmtId="0" fontId="2" fillId="2" borderId="45" xfId="0" applyFont="1" applyFill="1" applyBorder="1" applyAlignment="1">
      <alignment horizontal="center"/>
    </xf>
    <xf numFmtId="0" fontId="2" fillId="2" borderId="46" xfId="0" applyFont="1" applyFill="1" applyBorder="1" applyAlignment="1">
      <alignment horizontal="center"/>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0" fontId="0" fillId="0" borderId="50" xfId="0" applyBorder="1" applyAlignment="1" applyProtection="1">
      <alignment horizontal="left"/>
      <protection locked="0"/>
    </xf>
    <xf numFmtId="0" fontId="0" fillId="0" borderId="39" xfId="0" applyBorder="1" applyAlignment="1" applyProtection="1">
      <alignment horizontal="left"/>
      <protection locked="0"/>
    </xf>
    <xf numFmtId="0" fontId="0" fillId="0" borderId="51"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9" xfId="0" applyNumberFormat="1" applyBorder="1" applyAlignment="1" applyProtection="1">
      <alignment horizontal="left"/>
      <protection locked="0"/>
    </xf>
    <xf numFmtId="170" fontId="0" fillId="0" borderId="11" xfId="0" applyNumberFormat="1" applyBorder="1" applyAlignment="1" applyProtection="1">
      <alignment horizontal="left"/>
      <protection locked="0"/>
    </xf>
    <xf numFmtId="170" fontId="0" fillId="0" borderId="10" xfId="0" applyNumberFormat="1" applyBorder="1" applyAlignment="1" applyProtection="1">
      <alignment horizontal="left"/>
      <protection locked="0"/>
    </xf>
    <xf numFmtId="0" fontId="5" fillId="0" borderId="9" xfId="4" applyFill="1" applyBorder="1" applyAlignment="1" applyProtection="1">
      <alignment horizontal="left"/>
      <protection locked="0"/>
    </xf>
    <xf numFmtId="0" fontId="5" fillId="0" borderId="11" xfId="4" applyFill="1" applyBorder="1" applyAlignment="1" applyProtection="1">
      <alignment horizontal="left"/>
      <protection locked="0"/>
    </xf>
    <xf numFmtId="0" fontId="5" fillId="0" borderId="10"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0" fontId="10" fillId="0" borderId="38" xfId="0" applyFont="1" applyBorder="1" applyAlignment="1">
      <alignment horizontal="left" vertical="top" wrapText="1"/>
    </xf>
    <xf numFmtId="0" fontId="2" fillId="0" borderId="47" xfId="0" applyFont="1" applyBorder="1" applyAlignment="1">
      <alignment horizontal="center"/>
    </xf>
    <xf numFmtId="0" fontId="2" fillId="0" borderId="48"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14" xfId="0" applyBorder="1" applyAlignment="1">
      <alignment horizontal="left"/>
    </xf>
    <xf numFmtId="0" fontId="0" fillId="0" borderId="16" xfId="0" applyBorder="1" applyAlignment="1">
      <alignment horizontal="left"/>
    </xf>
    <xf numFmtId="0" fontId="7" fillId="0" borderId="9"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FFFF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11</xdr:col>
      <xdr:colOff>429137</xdr:colOff>
      <xdr:row>5</xdr:row>
      <xdr:rowOff>70473</xdr:rowOff>
    </xdr:from>
    <xdr:to>
      <xdr:col>14</xdr:col>
      <xdr:colOff>581025</xdr:colOff>
      <xdr:row>21</xdr:row>
      <xdr:rowOff>52986</xdr:rowOff>
    </xdr:to>
    <xdr:pic>
      <xdr:nvPicPr>
        <xdr:cNvPr id="3" name="Picture 2" descr="North hallway outside Microbiology Lab in pre - Cascadethat starts June 5th.&#10;">
          <a:extLst>
            <a:ext uri="{FF2B5EF4-FFF2-40B4-BE49-F238E27FC236}">
              <a16:creationId xmlns:a16="http://schemas.microsoft.com/office/drawing/2014/main" id="{6E90279C-5671-42AB-8905-CC8248987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6409799" y="1471686"/>
          <a:ext cx="3030513" cy="198068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63501</xdr:colOff>
      <xdr:row>20</xdr:row>
      <xdr:rowOff>133350</xdr:rowOff>
    </xdr:from>
    <xdr:to>
      <xdr:col>15</xdr:col>
      <xdr:colOff>304800</xdr:colOff>
      <xdr:row>23</xdr:row>
      <xdr:rowOff>104775</xdr:rowOff>
    </xdr:to>
    <xdr:sp macro="" textlink="" fLocksText="0">
      <xdr:nvSpPr>
        <xdr:cNvPr id="4" name="TextBox 3" descr="North hallway outside Microbiology Lab in pre - Cascadethat starts June 5th.&#10;">
          <a:extLst>
            <a:ext uri="{FF2B5EF4-FFF2-40B4-BE49-F238E27FC236}">
              <a16:creationId xmlns:a16="http://schemas.microsoft.com/office/drawing/2014/main" id="{CDCD6E3D-FD81-4F7C-BA09-5337997415F6}"/>
            </a:ext>
          </a:extLst>
        </xdr:cNvPr>
        <xdr:cNvSpPr txBox="1"/>
      </xdr:nvSpPr>
      <xdr:spPr>
        <a:xfrm>
          <a:off x="6569076" y="3867150"/>
          <a:ext cx="2679699" cy="5429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ase"/>
          <a:r>
            <a:rPr lang="en-US" sz="1100">
              <a:solidFill>
                <a:srgbClr val="FFFFFF"/>
              </a:solidFill>
              <a:effectLst/>
              <a:latin typeface="+mn-lt"/>
              <a:ea typeface="+mn-ea"/>
              <a:cs typeface="+mn-cs"/>
            </a:rPr>
            <a:t>North</a:t>
          </a:r>
          <a:r>
            <a:rPr lang="en-US" sz="1100" baseline="0">
              <a:solidFill>
                <a:srgbClr val="FFFFFF"/>
              </a:solidFill>
              <a:effectLst/>
              <a:latin typeface="+mn-lt"/>
              <a:ea typeface="+mn-ea"/>
              <a:cs typeface="+mn-cs"/>
            </a:rPr>
            <a:t> hallway </a:t>
          </a:r>
          <a:r>
            <a:rPr lang="en-US" sz="1100" b="1" baseline="0">
              <a:solidFill>
                <a:srgbClr val="FFFFFF"/>
              </a:solidFill>
              <a:latin typeface="+mn-lt"/>
              <a:ea typeface="+mn-ea"/>
              <a:cs typeface="+mn-cs"/>
            </a:rPr>
            <a:t>outside</a:t>
          </a:r>
          <a:r>
            <a:rPr lang="en-US" sz="1100" baseline="0">
              <a:solidFill>
                <a:srgbClr val="FFFFFF"/>
              </a:solidFill>
              <a:effectLst/>
              <a:latin typeface="+mn-lt"/>
              <a:ea typeface="+mn-ea"/>
              <a:cs typeface="+mn-cs"/>
            </a:rPr>
            <a:t> Microbiology Lab</a:t>
          </a:r>
          <a:r>
            <a:rPr lang="en-US" sz="1100">
              <a:solidFill>
                <a:srgbClr val="FFFFFF"/>
              </a:solidFill>
              <a:effectLst/>
              <a:latin typeface="+mn-lt"/>
              <a:ea typeface="+mn-ea"/>
              <a:cs typeface="+mn-cs"/>
            </a:rPr>
            <a:t> in pre - Cascadethat starts June 5th.</a:t>
          </a:r>
        </a:p>
        <a:p>
          <a:pPr algn="ctr" fontAlgn="base"/>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algn="ctr" fontAlgn="base"/>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algn="ctr"/>
          <a:r>
            <a:rPr lang="en-US" sz="1100" b="1">
              <a:solidFill>
                <a:schemeClr val="bg1"/>
              </a:solidFill>
            </a:rPr>
            <a:t>From the south</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6537</xdr:colOff>
      <xdr:row>24</xdr:row>
      <xdr:rowOff>175248</xdr:rowOff>
    </xdr:from>
    <xdr:to>
      <xdr:col>7</xdr:col>
      <xdr:colOff>202145</xdr:colOff>
      <xdr:row>39</xdr:row>
      <xdr:rowOff>83829</xdr:rowOff>
    </xdr:to>
    <xdr:pic>
      <xdr:nvPicPr>
        <xdr:cNvPr id="5" name="Picture 4" descr="Hallway - Cascade&#10;">
          <a:extLst>
            <a:ext uri="{FF2B5EF4-FFF2-40B4-BE49-F238E27FC236}">
              <a16:creationId xmlns:a16="http://schemas.microsoft.com/office/drawing/2014/main" id="{B455A722-7C4F-4452-860A-E5E466B75B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25737" y="4671048"/>
          <a:ext cx="3243608"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429137</xdr:colOff>
      <xdr:row>26</xdr:row>
      <xdr:rowOff>70472</xdr:rowOff>
    </xdr:from>
    <xdr:to>
      <xdr:col>14</xdr:col>
      <xdr:colOff>408197</xdr:colOff>
      <xdr:row>40</xdr:row>
      <xdr:rowOff>169553</xdr:rowOff>
    </xdr:to>
    <xdr:pic>
      <xdr:nvPicPr>
        <xdr:cNvPr id="7" name="Picture 6" descr="Main hallway - Cascade&#10;">
          <a:extLst>
            <a:ext uri="{FF2B5EF4-FFF2-40B4-BE49-F238E27FC236}">
              <a16:creationId xmlns:a16="http://schemas.microsoft.com/office/drawing/2014/main" id="{F060966B-3044-425B-8598-7970BDAE35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6455601" y="5426383"/>
          <a:ext cx="2766081" cy="180786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114300</xdr:colOff>
      <xdr:row>41</xdr:row>
      <xdr:rowOff>76200</xdr:rowOff>
    </xdr:from>
    <xdr:to>
      <xdr:col>14</xdr:col>
      <xdr:colOff>504825</xdr:colOff>
      <xdr:row>42</xdr:row>
      <xdr:rowOff>123825</xdr:rowOff>
    </xdr:to>
    <xdr:sp macro="" textlink="" fLocksText="0">
      <xdr:nvSpPr>
        <xdr:cNvPr id="8" name="TextBox 7" descr="Main hallway - Cascade&#10;">
          <a:extLst>
            <a:ext uri="{FF2B5EF4-FFF2-40B4-BE49-F238E27FC236}">
              <a16:creationId xmlns:a16="http://schemas.microsoft.com/office/drawing/2014/main" id="{16D006E1-00D1-46AC-A4A8-CFA783B11777}"/>
            </a:ext>
          </a:extLst>
        </xdr:cNvPr>
        <xdr:cNvSpPr txBox="1"/>
      </xdr:nvSpPr>
      <xdr:spPr>
        <a:xfrm>
          <a:off x="6619875" y="7810500"/>
          <a:ext cx="2219325"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Main hallway - Cascade</a:t>
          </a:r>
        </a:p>
      </xdr:txBody>
    </xdr:sp>
    <xdr:clientData fLocksWithSheet="0"/>
  </xdr:twoCellAnchor>
  <xdr:twoCellAnchor>
    <xdr:from>
      <xdr:col>2</xdr:col>
      <xdr:colOff>452487</xdr:colOff>
      <xdr:row>45</xdr:row>
      <xdr:rowOff>140327</xdr:rowOff>
    </xdr:from>
    <xdr:to>
      <xdr:col>5</xdr:col>
      <xdr:colOff>481788</xdr:colOff>
      <xdr:row>60</xdr:row>
      <xdr:rowOff>115895</xdr:rowOff>
    </xdr:to>
    <xdr:pic>
      <xdr:nvPicPr>
        <xdr:cNvPr id="9" name="Picture 8" descr="Lobby Entrance - Cascade&#10;">
          <a:extLst>
            <a:ext uri="{FF2B5EF4-FFF2-40B4-BE49-F238E27FC236}">
              <a16:creationId xmlns:a16="http://schemas.microsoft.com/office/drawing/2014/main" id="{147E818A-422D-4E94-B654-274D83C840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rot="5400000">
          <a:off x="1184204" y="9124110"/>
          <a:ext cx="2833068" cy="185810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28576</xdr:colOff>
      <xdr:row>61</xdr:row>
      <xdr:rowOff>47625</xdr:rowOff>
    </xdr:from>
    <xdr:to>
      <xdr:col>6</xdr:col>
      <xdr:colOff>333376</xdr:colOff>
      <xdr:row>62</xdr:row>
      <xdr:rowOff>95250</xdr:rowOff>
    </xdr:to>
    <xdr:sp macro="" textlink="" fLocksText="0">
      <xdr:nvSpPr>
        <xdr:cNvPr id="10" name="TextBox 9" descr="Lobby Entrance - Cascade&#10;">
          <a:extLst>
            <a:ext uri="{FF2B5EF4-FFF2-40B4-BE49-F238E27FC236}">
              <a16:creationId xmlns:a16="http://schemas.microsoft.com/office/drawing/2014/main" id="{2A0178AF-E0D3-4909-9805-4D6352B404BE}"/>
            </a:ext>
          </a:extLst>
        </xdr:cNvPr>
        <xdr:cNvSpPr txBox="1"/>
      </xdr:nvSpPr>
      <xdr:spPr>
        <a:xfrm>
          <a:off x="1247776" y="11591925"/>
          <a:ext cx="27432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Lobby Entrance - Cascade</a:t>
          </a:r>
        </a:p>
        <a:p>
          <a:pPr algn="ctr"/>
          <a:endParaRPr lang="en-US" sz="1100" b="1">
            <a:solidFill>
              <a:schemeClr val="bg1"/>
            </a:solidFill>
          </a:endParaRPr>
        </a:p>
      </xdr:txBody>
    </xdr:sp>
    <xdr:clientData fLocksWithSheet="0"/>
  </xdr:twoCellAnchor>
  <xdr:twoCellAnchor>
    <xdr:from>
      <xdr:col>10</xdr:col>
      <xdr:colOff>635826</xdr:colOff>
      <xdr:row>46</xdr:row>
      <xdr:rowOff>54601</xdr:rowOff>
    </xdr:from>
    <xdr:to>
      <xdr:col>15</xdr:col>
      <xdr:colOff>387349</xdr:colOff>
      <xdr:row>62</xdr:row>
      <xdr:rowOff>153994</xdr:rowOff>
    </xdr:to>
    <xdr:pic>
      <xdr:nvPicPr>
        <xdr:cNvPr id="11" name="Picture 10" descr="Glacier Bldg North&#10;">
          <a:extLst>
            <a:ext uri="{FF2B5EF4-FFF2-40B4-BE49-F238E27FC236}">
              <a16:creationId xmlns:a16="http://schemas.microsoft.com/office/drawing/2014/main" id="{62DF5223-3458-47F1-A6FB-F69DBF3596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503226" y="8741401"/>
          <a:ext cx="2828098" cy="314739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180976</xdr:colOff>
      <xdr:row>63</xdr:row>
      <xdr:rowOff>123825</xdr:rowOff>
    </xdr:from>
    <xdr:to>
      <xdr:col>16</xdr:col>
      <xdr:colOff>66676</xdr:colOff>
      <xdr:row>64</xdr:row>
      <xdr:rowOff>171450</xdr:rowOff>
    </xdr:to>
    <xdr:sp macro="" textlink="" fLocksText="0">
      <xdr:nvSpPr>
        <xdr:cNvPr id="12" name="TextBox 11" descr="Glacier Bldg North&#10;">
          <a:extLst>
            <a:ext uri="{FF2B5EF4-FFF2-40B4-BE49-F238E27FC236}">
              <a16:creationId xmlns:a16="http://schemas.microsoft.com/office/drawing/2014/main" id="{6A13A991-5D6B-4B67-8C85-21959CC86A63}"/>
            </a:ext>
          </a:extLst>
        </xdr:cNvPr>
        <xdr:cNvSpPr txBox="1"/>
      </xdr:nvSpPr>
      <xdr:spPr>
        <a:xfrm>
          <a:off x="6076951" y="12049125"/>
          <a:ext cx="35433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Glacier Bldg North</a:t>
          </a:r>
        </a:p>
      </xdr:txBody>
    </xdr:sp>
    <xdr:clientData fLocksWithSheet="0"/>
  </xdr:twoCellAnchor>
  <xdr:twoCellAnchor>
    <xdr:from>
      <xdr:col>2</xdr:col>
      <xdr:colOff>220591</xdr:colOff>
      <xdr:row>66</xdr:row>
      <xdr:rowOff>41901</xdr:rowOff>
    </xdr:from>
    <xdr:to>
      <xdr:col>6</xdr:col>
      <xdr:colOff>307284</xdr:colOff>
      <xdr:row>81</xdr:row>
      <xdr:rowOff>65094</xdr:rowOff>
    </xdr:to>
    <xdr:pic>
      <xdr:nvPicPr>
        <xdr:cNvPr id="13" name="Picture 12" descr="Glacier Internal Patio&#10;">
          <a:extLst>
            <a:ext uri="{FF2B5EF4-FFF2-40B4-BE49-F238E27FC236}">
              <a16:creationId xmlns:a16="http://schemas.microsoft.com/office/drawing/2014/main" id="{456EAC4E-F119-4C27-9353-FC892AC23D7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439791" y="12538701"/>
          <a:ext cx="2525093" cy="288069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438151</xdr:colOff>
      <xdr:row>82</xdr:row>
      <xdr:rowOff>28575</xdr:rowOff>
    </xdr:from>
    <xdr:to>
      <xdr:col>6</xdr:col>
      <xdr:colOff>514351</xdr:colOff>
      <xdr:row>83</xdr:row>
      <xdr:rowOff>76200</xdr:rowOff>
    </xdr:to>
    <xdr:sp macro="" textlink="" fLocksText="0">
      <xdr:nvSpPr>
        <xdr:cNvPr id="14" name="TextBox 13" descr="Glacier Internal Patio&#10;">
          <a:extLst>
            <a:ext uri="{FF2B5EF4-FFF2-40B4-BE49-F238E27FC236}">
              <a16:creationId xmlns:a16="http://schemas.microsoft.com/office/drawing/2014/main" id="{D4E14B28-F4B5-4691-AD57-E950A3FE9121}"/>
            </a:ext>
          </a:extLst>
        </xdr:cNvPr>
        <xdr:cNvSpPr txBox="1"/>
      </xdr:nvSpPr>
      <xdr:spPr>
        <a:xfrm>
          <a:off x="1047751" y="15573375"/>
          <a:ext cx="31242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Glacier</a:t>
          </a:r>
          <a:r>
            <a:rPr lang="en-US" sz="1100" b="1" baseline="0">
              <a:solidFill>
                <a:schemeClr val="bg1"/>
              </a:solidFill>
            </a:rPr>
            <a:t> Internal Patio</a:t>
          </a:r>
          <a:endParaRPr lang="en-US" sz="1100" b="1">
            <a:solidFill>
              <a:schemeClr val="bg1"/>
            </a:solidFill>
          </a:endParaRPr>
        </a:p>
      </xdr:txBody>
    </xdr:sp>
    <xdr:clientData fLocksWithSheet="0"/>
  </xdr:twoCellAnchor>
  <xdr:twoCellAnchor>
    <xdr:from>
      <xdr:col>10</xdr:col>
      <xdr:colOff>320862</xdr:colOff>
      <xdr:row>69</xdr:row>
      <xdr:rowOff>46125</xdr:rowOff>
    </xdr:from>
    <xdr:to>
      <xdr:col>15</xdr:col>
      <xdr:colOff>516471</xdr:colOff>
      <xdr:row>82</xdr:row>
      <xdr:rowOff>3402</xdr:rowOff>
    </xdr:to>
    <xdr:pic>
      <xdr:nvPicPr>
        <xdr:cNvPr id="15" name="Picture 14" descr="Glacier East side&#10;">
          <a:extLst>
            <a:ext uri="{FF2B5EF4-FFF2-40B4-BE49-F238E27FC236}">
              <a16:creationId xmlns:a16="http://schemas.microsoft.com/office/drawing/2014/main" id="{C0E5DA1C-B247-4592-B11B-B512A251D8C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216837" y="13114425"/>
          <a:ext cx="3243609" cy="243377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581026</xdr:colOff>
      <xdr:row>82</xdr:row>
      <xdr:rowOff>142875</xdr:rowOff>
    </xdr:from>
    <xdr:to>
      <xdr:col>16</xdr:col>
      <xdr:colOff>238126</xdr:colOff>
      <xdr:row>84</xdr:row>
      <xdr:rowOff>0</xdr:rowOff>
    </xdr:to>
    <xdr:sp macro="" textlink="" fLocksText="0">
      <xdr:nvSpPr>
        <xdr:cNvPr id="16" name="TextBox 15" descr="Glacier East side&#10;">
          <a:extLst>
            <a:ext uri="{FF2B5EF4-FFF2-40B4-BE49-F238E27FC236}">
              <a16:creationId xmlns:a16="http://schemas.microsoft.com/office/drawing/2014/main" id="{0AA7CC74-0D8B-4C42-AA79-477A87ECEF14}"/>
            </a:ext>
          </a:extLst>
        </xdr:cNvPr>
        <xdr:cNvSpPr txBox="1"/>
      </xdr:nvSpPr>
      <xdr:spPr>
        <a:xfrm>
          <a:off x="5867401" y="15687675"/>
          <a:ext cx="39243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Glacier East side</a:t>
          </a:r>
        </a:p>
        <a:p>
          <a:pPr algn="ctr"/>
          <a:endParaRPr lang="en-US" sz="1100" b="1">
            <a:solidFill>
              <a:schemeClr val="bg1"/>
            </a:solidFill>
          </a:endParaRPr>
        </a:p>
      </xdr:txBody>
    </xdr:sp>
    <xdr:clientData fLocksWithSheet="0"/>
  </xdr:twoCellAnchor>
  <xdr:twoCellAnchor>
    <xdr:from>
      <xdr:col>2</xdr:col>
      <xdr:colOff>5080</xdr:colOff>
      <xdr:row>4</xdr:row>
      <xdr:rowOff>104801</xdr:rowOff>
    </xdr:from>
    <xdr:to>
      <xdr:col>7</xdr:col>
      <xdr:colOff>92214</xdr:colOff>
      <xdr:row>18</xdr:row>
      <xdr:rowOff>122527</xdr:rowOff>
    </xdr:to>
    <xdr:pic>
      <xdr:nvPicPr>
        <xdr:cNvPr id="17" name="Picture 16" descr="Microbiology Lab in process - Cascade&#10;">
          <a:extLst>
            <a:ext uri="{FF2B5EF4-FFF2-40B4-BE49-F238E27FC236}">
              <a16:creationId xmlns:a16="http://schemas.microsoft.com/office/drawing/2014/main" id="{D8CDD18E-5494-4F01-BD73-C276EC2566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224280" y="790601"/>
          <a:ext cx="3135134" cy="268472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260350</xdr:colOff>
      <xdr:row>19</xdr:row>
      <xdr:rowOff>92075</xdr:rowOff>
    </xdr:from>
    <xdr:to>
      <xdr:col>7</xdr:col>
      <xdr:colOff>390525</xdr:colOff>
      <xdr:row>20</xdr:row>
      <xdr:rowOff>139700</xdr:rowOff>
    </xdr:to>
    <xdr:sp macro="" textlink="" fLocksText="0">
      <xdr:nvSpPr>
        <xdr:cNvPr id="6" name="TextBox 5" descr="Microbiology Lab in process - Cascade&#10;">
          <a:extLst>
            <a:ext uri="{FF2B5EF4-FFF2-40B4-BE49-F238E27FC236}">
              <a16:creationId xmlns:a16="http://schemas.microsoft.com/office/drawing/2014/main" id="{F94E1DED-6266-4020-AD4F-A3A94D582EF7}"/>
            </a:ext>
          </a:extLst>
        </xdr:cNvPr>
        <xdr:cNvSpPr txBox="1"/>
      </xdr:nvSpPr>
      <xdr:spPr>
        <a:xfrm>
          <a:off x="869950" y="3635375"/>
          <a:ext cx="3787775"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Microbiology Lab in process - Cascade</a:t>
          </a:r>
          <a:endParaRPr lang="en-US" sz="1100" b="1">
            <a:solidFill>
              <a:schemeClr val="bg1"/>
            </a:solidFill>
          </a:endParaRPr>
        </a:p>
      </xdr:txBody>
    </xdr:sp>
    <xdr:clientData fLocksWithSheet="0"/>
  </xdr:twoCellAnchor>
  <xdr:twoCellAnchor>
    <xdr:from>
      <xdr:col>2</xdr:col>
      <xdr:colOff>378012</xdr:colOff>
      <xdr:row>40</xdr:row>
      <xdr:rowOff>13323</xdr:rowOff>
    </xdr:from>
    <xdr:to>
      <xdr:col>6</xdr:col>
      <xdr:colOff>158937</xdr:colOff>
      <xdr:row>41</xdr:row>
      <xdr:rowOff>60948</xdr:rowOff>
    </xdr:to>
    <xdr:sp macro="" textlink="" fLocksText="0">
      <xdr:nvSpPr>
        <xdr:cNvPr id="18" name="TextBox 17" descr="Hallway - Cascade&#10;">
          <a:extLst>
            <a:ext uri="{FF2B5EF4-FFF2-40B4-BE49-F238E27FC236}">
              <a16:creationId xmlns:a16="http://schemas.microsoft.com/office/drawing/2014/main" id="{E5DE76F4-B5B8-4C63-8435-4720AD46ACC6}"/>
            </a:ext>
          </a:extLst>
        </xdr:cNvPr>
        <xdr:cNvSpPr txBox="1"/>
      </xdr:nvSpPr>
      <xdr:spPr>
        <a:xfrm>
          <a:off x="1597212" y="7557123"/>
          <a:ext cx="2219325"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Hallway - Cascade</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321129</xdr:colOff>
      <xdr:row>9</xdr:row>
      <xdr:rowOff>29651</xdr:rowOff>
    </xdr:from>
    <xdr:to>
      <xdr:col>6</xdr:col>
      <xdr:colOff>425904</xdr:colOff>
      <xdr:row>25</xdr:row>
      <xdr:rowOff>83003</xdr:rowOff>
    </xdr:to>
    <xdr:grpSp>
      <xdr:nvGrpSpPr>
        <xdr:cNvPr id="4" name="Group 3" descr="CAS Level 1 Nook&#10;">
          <a:extLst>
            <a:ext uri="{FF2B5EF4-FFF2-40B4-BE49-F238E27FC236}">
              <a16:creationId xmlns:a16="http://schemas.microsoft.com/office/drawing/2014/main" id="{FCCD00A5-B8AC-AEAD-E478-3FB3B6133E0B}"/>
            </a:ext>
          </a:extLst>
        </xdr:cNvPr>
        <xdr:cNvGrpSpPr/>
      </xdr:nvGrpSpPr>
      <xdr:grpSpPr>
        <a:xfrm>
          <a:off x="1540329" y="1667951"/>
          <a:ext cx="2543175" cy="3101352"/>
          <a:chOff x="1295400" y="4947273"/>
          <a:chExt cx="2543175" cy="3101352"/>
        </a:xfrm>
      </xdr:grpSpPr>
      <xdr:pic>
        <xdr:nvPicPr>
          <xdr:cNvPr id="19" name="Picture 18" descr="CAS Level 1 Nook&#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1169226" y="5426383"/>
            <a:ext cx="2766082" cy="180786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sp macro="" textlink="" fLocksText="0">
        <xdr:nvSpPr>
          <xdr:cNvPr id="20" name="TextBox 19" descr="CAS Level 1 Nook&#10;">
            <a:extLst>
              <a:ext uri="{FF2B5EF4-FFF2-40B4-BE49-F238E27FC236}">
                <a16:creationId xmlns:a16="http://schemas.microsoft.com/office/drawing/2014/main" id="{00000000-0008-0000-0200-000014000000}"/>
              </a:ext>
            </a:extLst>
          </xdr:cNvPr>
          <xdr:cNvSpPr txBox="1"/>
        </xdr:nvSpPr>
        <xdr:spPr>
          <a:xfrm>
            <a:off x="1295400" y="7810500"/>
            <a:ext cx="2543175"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CAS Level 1 Nook</a:t>
            </a:r>
            <a:endParaRPr lang="en-US" sz="1100" b="1">
              <a:solidFill>
                <a:schemeClr val="bg1"/>
              </a:solidFill>
            </a:endParaRPr>
          </a:p>
        </xdr:txBody>
      </xdr:sp>
    </xdr:grpSp>
    <xdr:clientData fLocksWithSheet="0"/>
  </xdr:twoCellAnchor>
  <xdr:twoCellAnchor>
    <xdr:from>
      <xdr:col>9</xdr:col>
      <xdr:colOff>327932</xdr:colOff>
      <xdr:row>9</xdr:row>
      <xdr:rowOff>56866</xdr:rowOff>
    </xdr:from>
    <xdr:to>
      <xdr:col>15</xdr:col>
      <xdr:colOff>518433</xdr:colOff>
      <xdr:row>25</xdr:row>
      <xdr:rowOff>110218</xdr:rowOff>
    </xdr:to>
    <xdr:grpSp>
      <xdr:nvGrpSpPr>
        <xdr:cNvPr id="3" name="Group 2" descr="CAS Level 1 Typ Classroom&#10;">
          <a:extLst>
            <a:ext uri="{FF2B5EF4-FFF2-40B4-BE49-F238E27FC236}">
              <a16:creationId xmlns:a16="http://schemas.microsoft.com/office/drawing/2014/main" id="{8711A854-C224-CA2D-A32E-DC8D4EA13990}"/>
            </a:ext>
          </a:extLst>
        </xdr:cNvPr>
        <xdr:cNvGrpSpPr/>
      </xdr:nvGrpSpPr>
      <xdr:grpSpPr>
        <a:xfrm>
          <a:off x="5614307" y="1695166"/>
          <a:ext cx="3848101" cy="3101352"/>
          <a:chOff x="5924550" y="4947273"/>
          <a:chExt cx="3848100" cy="3101352"/>
        </a:xfrm>
      </xdr:grpSpPr>
      <xdr:pic>
        <xdr:nvPicPr>
          <xdr:cNvPr id="21" name="Picture 20" descr="CAS Level 1 Typ Classroom&#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6837" y="4947273"/>
            <a:ext cx="32436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sp macro="" textlink="" fLocksText="0">
        <xdr:nvSpPr>
          <xdr:cNvPr id="22" name="TextBox 21" descr="CAS Level 1 Typ Classroom&#10;">
            <a:extLst>
              <a:ext uri="{FF2B5EF4-FFF2-40B4-BE49-F238E27FC236}">
                <a16:creationId xmlns:a16="http://schemas.microsoft.com/office/drawing/2014/main" id="{00000000-0008-0000-0200-000016000000}"/>
              </a:ext>
            </a:extLst>
          </xdr:cNvPr>
          <xdr:cNvSpPr txBox="1"/>
        </xdr:nvSpPr>
        <xdr:spPr>
          <a:xfrm>
            <a:off x="5924550" y="7810500"/>
            <a:ext cx="38481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CAS Level 1 Typ Classroom</a:t>
            </a:r>
          </a:p>
          <a:p>
            <a:pPr algn="ctr"/>
            <a:endParaRPr lang="en-US" sz="1100" b="1">
              <a:solidFill>
                <a:schemeClr val="bg1"/>
              </a:solidFill>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30000987-pierce-cascade-ph3-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ru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ColWidth="8.85546875" defaultRowHeight="15" x14ac:dyDescent="0.25"/>
  <cols>
    <col min="1" max="1" width="1.42578125" customWidth="1"/>
    <col min="2" max="2" width="2.85546875" customWidth="1"/>
    <col min="3" max="3" width="15.42578125" customWidth="1"/>
    <col min="12" max="12" width="1.42578125" customWidth="1"/>
  </cols>
  <sheetData>
    <row r="1" spans="1:12" ht="21.75" thickTop="1" x14ac:dyDescent="0.35">
      <c r="A1" s="54"/>
      <c r="B1" s="134" t="s">
        <v>177</v>
      </c>
      <c r="C1" s="134"/>
      <c r="D1" s="134"/>
      <c r="E1" s="134"/>
      <c r="F1" s="134"/>
      <c r="G1" s="134"/>
      <c r="H1" s="134"/>
      <c r="I1" s="134"/>
      <c r="J1" s="134"/>
      <c r="K1" s="134"/>
      <c r="L1" s="55"/>
    </row>
    <row r="2" spans="1:12" ht="21.75" thickBot="1" x14ac:dyDescent="0.4">
      <c r="A2" s="91"/>
      <c r="B2" s="135" t="s">
        <v>178</v>
      </c>
      <c r="C2" s="135"/>
      <c r="D2" s="135"/>
      <c r="E2" s="135"/>
      <c r="F2" s="135"/>
      <c r="G2" s="135"/>
      <c r="H2" s="135"/>
      <c r="I2" s="135"/>
      <c r="J2" s="135"/>
      <c r="K2" s="135"/>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36" t="s">
        <v>181</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180</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183</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179</v>
      </c>
      <c r="C23" s="13"/>
      <c r="D23" s="13"/>
      <c r="E23" s="13"/>
      <c r="F23" s="13"/>
      <c r="G23" s="13"/>
      <c r="H23" s="13"/>
      <c r="I23" s="13"/>
      <c r="J23" s="13"/>
      <c r="K23" s="14"/>
    </row>
    <row r="24" spans="2:11" x14ac:dyDescent="0.25">
      <c r="B24" s="136" t="s">
        <v>194</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184</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2" t="s">
        <v>187</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190</v>
      </c>
      <c r="C37" s="132" t="s">
        <v>198</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199</v>
      </c>
      <c r="C40" s="132" t="s">
        <v>200</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201</v>
      </c>
      <c r="C43" s="132" t="s">
        <v>202</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203</v>
      </c>
      <c r="C45" s="132" t="s">
        <v>205</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D44" sqref="D44"/>
    </sheetView>
  </sheetViews>
  <sheetFormatPr defaultColWidth="9.140625" defaultRowHeight="15" x14ac:dyDescent="0.25"/>
  <cols>
    <col min="1" max="1" width="1.42578125" customWidth="1"/>
    <col min="2" max="2" width="35.42578125" customWidth="1"/>
    <col min="3" max="7" width="14.42578125" customWidth="1"/>
    <col min="8" max="8" width="15" bestFit="1" customWidth="1"/>
    <col min="9" max="9" width="14.42578125" customWidth="1"/>
    <col min="10" max="10" width="1.42578125" customWidth="1"/>
  </cols>
  <sheetData>
    <row r="1" spans="1:13" ht="21.75" thickTop="1" x14ac:dyDescent="0.35">
      <c r="A1" s="54"/>
      <c r="B1" s="202" t="s">
        <v>57</v>
      </c>
      <c r="C1" s="202"/>
      <c r="D1" s="202"/>
      <c r="E1" s="202"/>
      <c r="F1" s="202"/>
      <c r="G1" s="202"/>
      <c r="H1" s="202"/>
      <c r="I1" s="202"/>
      <c r="J1" s="55"/>
    </row>
    <row r="2" spans="1:13" x14ac:dyDescent="0.25">
      <c r="A2" s="56"/>
      <c r="B2" s="129"/>
      <c r="C2" s="129"/>
      <c r="D2" s="129"/>
      <c r="E2" s="129" t="s">
        <v>207</v>
      </c>
      <c r="F2" s="129"/>
      <c r="G2" s="129"/>
      <c r="H2" s="129"/>
      <c r="I2" s="129"/>
      <c r="J2" s="57"/>
    </row>
    <row r="3" spans="1:13" ht="21" x14ac:dyDescent="0.35">
      <c r="A3" s="56"/>
      <c r="B3" s="203" t="s">
        <v>170</v>
      </c>
      <c r="C3" s="203"/>
      <c r="D3" s="203"/>
      <c r="E3" s="203"/>
      <c r="F3" s="203"/>
      <c r="G3" s="203"/>
      <c r="H3" s="203"/>
      <c r="I3" s="203"/>
      <c r="J3" s="57"/>
    </row>
    <row r="4" spans="1:13" ht="21" customHeight="1" x14ac:dyDescent="0.35">
      <c r="A4" s="58"/>
      <c r="B4" s="210" t="s">
        <v>222</v>
      </c>
      <c r="C4" s="210"/>
      <c r="D4" s="210"/>
      <c r="E4" s="210"/>
      <c r="F4" s="210"/>
      <c r="G4" s="210"/>
      <c r="H4" s="210"/>
      <c r="I4" s="210"/>
      <c r="J4" s="59"/>
    </row>
    <row r="5" spans="1:13" s="1" customFormat="1" x14ac:dyDescent="0.25">
      <c r="A5" s="60"/>
      <c r="B5" t="s">
        <v>59</v>
      </c>
      <c r="C5" s="204">
        <v>699</v>
      </c>
      <c r="D5" s="205"/>
      <c r="E5" s="205"/>
      <c r="F5" s="205"/>
      <c r="G5" s="205"/>
      <c r="H5" s="206"/>
      <c r="J5" s="61"/>
    </row>
    <row r="6" spans="1:13" s="1" customFormat="1" x14ac:dyDescent="0.25">
      <c r="A6" s="60"/>
      <c r="B6" t="s">
        <v>60</v>
      </c>
      <c r="C6" s="204" t="s">
        <v>211</v>
      </c>
      <c r="D6" s="205"/>
      <c r="E6" s="205"/>
      <c r="F6" s="205"/>
      <c r="G6" s="205"/>
      <c r="H6" s="206"/>
      <c r="J6" s="61"/>
    </row>
    <row r="7" spans="1:13" s="1" customFormat="1" ht="15.75" thickBot="1" x14ac:dyDescent="0.3">
      <c r="A7" s="62"/>
      <c r="B7" s="63" t="s">
        <v>143</v>
      </c>
      <c r="C7" s="207">
        <v>30000987</v>
      </c>
      <c r="D7" s="208"/>
      <c r="E7" s="208"/>
      <c r="F7" s="208"/>
      <c r="G7" s="208"/>
      <c r="H7" s="209"/>
      <c r="I7" s="64"/>
      <c r="J7" s="65"/>
    </row>
    <row r="8" spans="1:13" s="1" customFormat="1" ht="9.9499999999999993" customHeight="1" thickTop="1" x14ac:dyDescent="0.25">
      <c r="A8" s="60"/>
      <c r="B8"/>
      <c r="C8"/>
      <c r="D8" s="45"/>
      <c r="J8" s="61"/>
    </row>
    <row r="9" spans="1:13" s="1" customFormat="1" x14ac:dyDescent="0.25">
      <c r="A9" s="60"/>
      <c r="B9" s="158" t="s">
        <v>61</v>
      </c>
      <c r="C9" s="159"/>
      <c r="D9" s="159"/>
      <c r="E9" s="159"/>
      <c r="F9" s="159"/>
      <c r="G9" s="159"/>
      <c r="H9" s="159"/>
      <c r="I9" s="160"/>
      <c r="J9" s="61"/>
    </row>
    <row r="10" spans="1:13" s="1" customFormat="1" x14ac:dyDescent="0.25">
      <c r="A10" s="60"/>
      <c r="B10" s="15" t="s">
        <v>62</v>
      </c>
      <c r="C10" s="204" t="s">
        <v>223</v>
      </c>
      <c r="D10" s="205"/>
      <c r="E10" s="205"/>
      <c r="F10" s="205"/>
      <c r="G10" s="205"/>
      <c r="H10" s="206"/>
      <c r="I10" s="66"/>
      <c r="J10" s="61"/>
    </row>
    <row r="11" spans="1:13" s="1" customFormat="1" x14ac:dyDescent="0.25">
      <c r="A11" s="60"/>
      <c r="B11" s="15" t="s">
        <v>63</v>
      </c>
      <c r="C11" s="211" t="s">
        <v>224</v>
      </c>
      <c r="D11" s="212"/>
      <c r="E11" s="212"/>
      <c r="F11" s="212"/>
      <c r="G11" s="212"/>
      <c r="H11" s="213"/>
      <c r="I11" s="66"/>
      <c r="J11" s="61"/>
    </row>
    <row r="12" spans="1:13" s="1" customFormat="1" x14ac:dyDescent="0.25">
      <c r="A12" s="60"/>
      <c r="B12" s="18" t="s">
        <v>64</v>
      </c>
      <c r="C12" s="214" t="s">
        <v>225</v>
      </c>
      <c r="D12" s="215"/>
      <c r="E12" s="215"/>
      <c r="F12" s="215"/>
      <c r="G12" s="215"/>
      <c r="H12" s="216"/>
      <c r="I12" s="67"/>
      <c r="J12" s="61"/>
    </row>
    <row r="13" spans="1:13" ht="9.9499999999999993" customHeight="1" thickBot="1" x14ac:dyDescent="0.3">
      <c r="A13" s="56"/>
      <c r="D13" s="68"/>
      <c r="J13" s="57"/>
      <c r="M13" s="1"/>
    </row>
    <row r="14" spans="1:13" s="69" customFormat="1" ht="27" customHeight="1" thickTop="1" thickBot="1" x14ac:dyDescent="0.3">
      <c r="A14" s="167" t="s">
        <v>153</v>
      </c>
      <c r="B14" s="168"/>
      <c r="C14" s="168"/>
      <c r="D14" s="168"/>
      <c r="E14" s="168"/>
      <c r="F14" s="168"/>
      <c r="G14" s="168"/>
      <c r="H14" s="168"/>
      <c r="I14" s="168"/>
      <c r="J14" s="169"/>
      <c r="M14" s="1"/>
    </row>
    <row r="15" spans="1:13" ht="9.9499999999999993" customHeight="1" thickTop="1" x14ac:dyDescent="0.25">
      <c r="A15" s="56"/>
      <c r="D15" s="68"/>
      <c r="J15" s="57"/>
      <c r="M15" s="1"/>
    </row>
    <row r="16" spans="1:13" ht="15" customHeight="1" x14ac:dyDescent="0.25">
      <c r="A16" s="56"/>
      <c r="B16" s="70" t="s">
        <v>0</v>
      </c>
      <c r="C16" s="149" t="s">
        <v>212</v>
      </c>
      <c r="D16" s="150"/>
      <c r="E16" s="150"/>
      <c r="F16" s="150"/>
      <c r="G16" s="150"/>
      <c r="H16" s="150"/>
      <c r="I16" s="151"/>
      <c r="J16" s="57"/>
      <c r="M16" s="1"/>
    </row>
    <row r="17" spans="1:13" ht="15" customHeight="1" x14ac:dyDescent="0.25">
      <c r="A17" s="56"/>
      <c r="B17" s="219" t="s">
        <v>73</v>
      </c>
      <c r="C17" s="152"/>
      <c r="D17" s="153"/>
      <c r="E17" s="153"/>
      <c r="F17" s="153"/>
      <c r="G17" s="153"/>
      <c r="H17" s="153"/>
      <c r="I17" s="154"/>
      <c r="J17" s="57"/>
      <c r="M17" s="1"/>
    </row>
    <row r="18" spans="1:13" x14ac:dyDescent="0.25">
      <c r="A18" s="56"/>
      <c r="B18" s="219"/>
      <c r="C18" s="152"/>
      <c r="D18" s="153"/>
      <c r="E18" s="153"/>
      <c r="F18" s="153"/>
      <c r="G18" s="153"/>
      <c r="H18" s="153"/>
      <c r="I18" s="154"/>
      <c r="J18" s="57"/>
      <c r="M18" s="1"/>
    </row>
    <row r="19" spans="1:13" ht="36" customHeight="1" x14ac:dyDescent="0.25">
      <c r="A19" s="56"/>
      <c r="B19" s="219"/>
      <c r="C19" s="155"/>
      <c r="D19" s="156"/>
      <c r="E19" s="156"/>
      <c r="F19" s="156"/>
      <c r="G19" s="156"/>
      <c r="H19" s="156"/>
      <c r="I19" s="15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49" t="s">
        <v>226</v>
      </c>
      <c r="D21" s="150"/>
      <c r="E21" s="150"/>
      <c r="F21" s="150"/>
      <c r="G21" s="150"/>
      <c r="H21" s="150"/>
      <c r="I21" s="151"/>
      <c r="J21" s="57"/>
      <c r="M21" s="1"/>
    </row>
    <row r="22" spans="1:13" ht="15" customHeight="1" x14ac:dyDescent="0.25">
      <c r="A22" s="56"/>
      <c r="B22" s="217" t="s">
        <v>144</v>
      </c>
      <c r="C22" s="152"/>
      <c r="D22" s="153"/>
      <c r="E22" s="153"/>
      <c r="F22" s="153"/>
      <c r="G22" s="153"/>
      <c r="H22" s="153"/>
      <c r="I22" s="154"/>
      <c r="J22" s="57"/>
      <c r="M22" s="1"/>
    </row>
    <row r="23" spans="1:13" x14ac:dyDescent="0.25">
      <c r="A23" s="56"/>
      <c r="B23" s="217"/>
      <c r="C23" s="152"/>
      <c r="D23" s="153"/>
      <c r="E23" s="153"/>
      <c r="F23" s="153"/>
      <c r="G23" s="153"/>
      <c r="H23" s="153"/>
      <c r="I23" s="154"/>
      <c r="J23" s="57"/>
      <c r="M23" s="1"/>
    </row>
    <row r="24" spans="1:13" x14ac:dyDescent="0.25">
      <c r="A24" s="56"/>
      <c r="B24" s="217"/>
      <c r="C24" s="152"/>
      <c r="D24" s="153"/>
      <c r="E24" s="153"/>
      <c r="F24" s="153"/>
      <c r="G24" s="153"/>
      <c r="H24" s="153"/>
      <c r="I24" s="154"/>
      <c r="J24" s="57"/>
      <c r="M24" s="1"/>
    </row>
    <row r="25" spans="1:13" x14ac:dyDescent="0.25">
      <c r="A25" s="56"/>
      <c r="B25" s="217"/>
      <c r="C25" s="152"/>
      <c r="D25" s="153"/>
      <c r="E25" s="153"/>
      <c r="F25" s="153"/>
      <c r="G25" s="153"/>
      <c r="H25" s="153"/>
      <c r="I25" s="154"/>
      <c r="J25" s="57"/>
      <c r="M25" s="1"/>
    </row>
    <row r="26" spans="1:13" ht="1.5" customHeight="1" x14ac:dyDescent="0.25">
      <c r="A26" s="56"/>
      <c r="B26" s="217"/>
      <c r="C26" s="152"/>
      <c r="D26" s="153"/>
      <c r="E26" s="153"/>
      <c r="F26" s="153"/>
      <c r="G26" s="153"/>
      <c r="H26" s="153"/>
      <c r="I26" s="154"/>
      <c r="J26" s="57"/>
      <c r="M26" s="1"/>
    </row>
    <row r="27" spans="1:13" ht="1.5" customHeight="1" x14ac:dyDescent="0.25">
      <c r="A27" s="56"/>
      <c r="B27" s="218"/>
      <c r="C27" s="155"/>
      <c r="D27" s="156"/>
      <c r="E27" s="156"/>
      <c r="F27" s="156"/>
      <c r="G27" s="156"/>
      <c r="H27" s="156"/>
      <c r="I27" s="157"/>
      <c r="J27" s="57"/>
      <c r="M27" s="1"/>
    </row>
    <row r="28" spans="1:13" ht="9.9499999999999993" customHeight="1" x14ac:dyDescent="0.25">
      <c r="A28" s="56"/>
      <c r="D28" s="68"/>
      <c r="J28" s="57"/>
      <c r="M28" s="1"/>
    </row>
    <row r="29" spans="1:13" s="1" customFormat="1" x14ac:dyDescent="0.25">
      <c r="A29" s="60"/>
      <c r="B29" s="143" t="s">
        <v>154</v>
      </c>
      <c r="C29" s="144"/>
      <c r="D29" s="144"/>
      <c r="E29" s="144"/>
      <c r="F29" s="144"/>
      <c r="G29" s="144"/>
      <c r="H29" s="144"/>
      <c r="I29" s="145"/>
      <c r="J29" s="61"/>
    </row>
    <row r="30" spans="1:13" ht="15" customHeight="1" thickBot="1" x14ac:dyDescent="0.3">
      <c r="A30" s="56"/>
      <c r="B30" s="73"/>
      <c r="C30" s="173" t="s">
        <v>175</v>
      </c>
      <c r="D30" s="174"/>
      <c r="E30" s="174"/>
      <c r="F30" s="174"/>
      <c r="G30" s="174"/>
      <c r="H30" s="174"/>
      <c r="I30" s="175"/>
      <c r="J30" s="57"/>
      <c r="M30" s="1"/>
    </row>
    <row r="31" spans="1:13" ht="15" customHeight="1" x14ac:dyDescent="0.25">
      <c r="A31" s="56"/>
      <c r="B31" s="73"/>
      <c r="C31" s="176" t="s">
        <v>158</v>
      </c>
      <c r="D31" s="177"/>
      <c r="E31" s="176" t="s">
        <v>159</v>
      </c>
      <c r="F31" s="178"/>
      <c r="G31" s="179"/>
      <c r="H31" s="180" t="s">
        <v>1</v>
      </c>
      <c r="I31" s="220" t="s">
        <v>67</v>
      </c>
      <c r="J31" s="57"/>
      <c r="M31" s="1"/>
    </row>
    <row r="32" spans="1:13" s="1" customFormat="1" ht="30" x14ac:dyDescent="0.25">
      <c r="A32" s="60"/>
      <c r="B32" s="10" t="s">
        <v>156</v>
      </c>
      <c r="C32" s="74" t="s">
        <v>161</v>
      </c>
      <c r="D32" s="4" t="s">
        <v>208</v>
      </c>
      <c r="E32" s="4" t="s">
        <v>209</v>
      </c>
      <c r="F32" s="4" t="s">
        <v>210</v>
      </c>
      <c r="G32" s="5" t="s">
        <v>160</v>
      </c>
      <c r="H32" s="181"/>
      <c r="I32" s="22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227</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3188908</v>
      </c>
      <c r="D38" s="48">
        <f>SUM(D39:D42)</f>
        <v>0</v>
      </c>
      <c r="E38" s="48">
        <f>SUM(E39:E42)</f>
        <v>0</v>
      </c>
      <c r="F38" s="48">
        <f>SUM(F39:F42)</f>
        <v>0</v>
      </c>
      <c r="G38" s="49">
        <f>SUM(G39:G42)</f>
        <v>0</v>
      </c>
      <c r="H38" s="50">
        <f>SUM(C38:G38)</f>
        <v>3188908</v>
      </c>
      <c r="I38" s="7"/>
      <c r="J38" s="57"/>
      <c r="M38" s="1"/>
    </row>
    <row r="39" spans="1:13" ht="30" x14ac:dyDescent="0.25">
      <c r="A39" s="56"/>
      <c r="B39" s="8" t="s">
        <v>227</v>
      </c>
      <c r="C39" s="75">
        <v>3188908</v>
      </c>
      <c r="D39" s="76"/>
      <c r="E39" s="76"/>
      <c r="F39" s="76"/>
      <c r="G39" s="77"/>
      <c r="H39" s="9">
        <f>SUM(C39:G39)</f>
        <v>3188908</v>
      </c>
      <c r="I39" s="130" t="s">
        <v>213</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27432639</v>
      </c>
      <c r="D43" s="48">
        <f>SUM(D44:D47)</f>
        <v>1516244.86</v>
      </c>
      <c r="E43" s="48">
        <f>SUM(E44:E47)</f>
        <v>6212208.1399999997</v>
      </c>
      <c r="F43" s="48">
        <f>SUM(F44:F47)</f>
        <v>0</v>
      </c>
      <c r="G43" s="49">
        <f>SUM(G44:G47)</f>
        <v>0</v>
      </c>
      <c r="H43" s="50">
        <f>SUM(C43:G43)</f>
        <v>35161092</v>
      </c>
      <c r="I43" s="7"/>
      <c r="J43" s="57"/>
      <c r="M43" s="1"/>
    </row>
    <row r="44" spans="1:13" x14ac:dyDescent="0.25">
      <c r="A44" s="56"/>
      <c r="B44" s="8" t="s">
        <v>227</v>
      </c>
      <c r="C44" s="75">
        <v>27395403</v>
      </c>
      <c r="D44" s="76">
        <f>1516244.86</f>
        <v>1516244.86</v>
      </c>
      <c r="E44" s="76">
        <f>31911092-C44-D44</f>
        <v>2999444.1399999997</v>
      </c>
      <c r="F44" s="76"/>
      <c r="G44" s="77"/>
      <c r="H44" s="9">
        <f>SUM(C44:G44)</f>
        <v>31911092</v>
      </c>
      <c r="I44" s="78" t="s">
        <v>214</v>
      </c>
      <c r="J44" s="57"/>
      <c r="M44" s="1"/>
    </row>
    <row r="45" spans="1:13" x14ac:dyDescent="0.25">
      <c r="A45" s="56"/>
      <c r="B45" s="125" t="s">
        <v>193</v>
      </c>
      <c r="C45" s="75"/>
      <c r="D45" s="76"/>
      <c r="E45" s="76"/>
      <c r="F45" s="76"/>
      <c r="G45" s="77"/>
      <c r="H45" s="9">
        <f>SUM(C45:G45)</f>
        <v>0</v>
      </c>
      <c r="I45" s="78"/>
      <c r="J45" s="57"/>
      <c r="M45" s="1"/>
    </row>
    <row r="46" spans="1:13" x14ac:dyDescent="0.25">
      <c r="A46" s="56"/>
      <c r="B46" s="125" t="s">
        <v>216</v>
      </c>
      <c r="C46" s="75">
        <f>385+36851</f>
        <v>37236</v>
      </c>
      <c r="D46" s="76"/>
      <c r="E46" s="76">
        <f>3250000-D46-C46</f>
        <v>3212764</v>
      </c>
      <c r="F46" s="76"/>
      <c r="G46" s="77"/>
      <c r="H46" s="9">
        <f t="shared" ref="H46:H47" si="2">SUM(C46:G46)</f>
        <v>3250000</v>
      </c>
      <c r="I46" s="78" t="s">
        <v>215</v>
      </c>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30621547</v>
      </c>
      <c r="D48" s="51">
        <f>D33+D38+D43</f>
        <v>1516244.86</v>
      </c>
      <c r="E48" s="51">
        <f>E33+E38+E43</f>
        <v>6212208.1399999997</v>
      </c>
      <c r="F48" s="51">
        <f>F33+F38+F43</f>
        <v>0</v>
      </c>
      <c r="G48" s="52">
        <f>G33+G38+G43</f>
        <v>0</v>
      </c>
      <c r="H48" s="53">
        <f>SUM(C48:G48)</f>
        <v>38350000</v>
      </c>
      <c r="I48" s="7"/>
      <c r="J48" s="61"/>
    </row>
    <row r="49" spans="1:13" s="1" customFormat="1" ht="9.9499999999999993" customHeight="1" x14ac:dyDescent="0.25">
      <c r="A49" s="60"/>
      <c r="C49" s="79"/>
      <c r="D49" s="79"/>
      <c r="J49" s="61"/>
    </row>
    <row r="50" spans="1:13" s="1" customFormat="1" x14ac:dyDescent="0.25">
      <c r="A50" s="60"/>
      <c r="B50" s="143" t="s">
        <v>155</v>
      </c>
      <c r="C50" s="144"/>
      <c r="D50" s="144"/>
      <c r="E50" s="144"/>
      <c r="F50" s="144"/>
      <c r="G50" s="144"/>
      <c r="H50" s="144"/>
      <c r="I50" s="145"/>
      <c r="J50" s="61"/>
    </row>
    <row r="51" spans="1:13" x14ac:dyDescent="0.25">
      <c r="A51" s="56"/>
      <c r="B51" s="80" t="s">
        <v>69</v>
      </c>
      <c r="C51" s="227" t="s">
        <v>101</v>
      </c>
      <c r="D51" s="228"/>
      <c r="E51" s="225" t="s">
        <v>70</v>
      </c>
      <c r="F51" s="226"/>
      <c r="G51" s="231" t="s">
        <v>141</v>
      </c>
      <c r="H51" s="232"/>
      <c r="I51" s="16"/>
      <c r="J51" s="57"/>
      <c r="M51" s="1"/>
    </row>
    <row r="52" spans="1:13" x14ac:dyDescent="0.25">
      <c r="A52" s="56"/>
      <c r="B52" s="15" t="s">
        <v>228</v>
      </c>
      <c r="C52" s="229">
        <v>0.15</v>
      </c>
      <c r="D52" s="230"/>
      <c r="E52" t="s">
        <v>71</v>
      </c>
      <c r="G52" s="231" t="s">
        <v>138</v>
      </c>
      <c r="H52" s="232"/>
      <c r="I52" s="16"/>
      <c r="J52" s="57"/>
      <c r="M52" s="1"/>
    </row>
    <row r="53" spans="1:13" x14ac:dyDescent="0.25">
      <c r="A53" s="56"/>
      <c r="B53" s="18" t="s">
        <v>148</v>
      </c>
      <c r="C53" s="231" t="s">
        <v>55</v>
      </c>
      <c r="D53" s="232"/>
      <c r="E53" s="19" t="s">
        <v>72</v>
      </c>
      <c r="F53" s="19"/>
      <c r="G53" s="231" t="s">
        <v>138</v>
      </c>
      <c r="H53" s="232"/>
      <c r="I53" s="20"/>
      <c r="J53" s="57"/>
      <c r="M53" s="1"/>
    </row>
    <row r="54" spans="1:13" ht="9.9499999999999993" customHeight="1" x14ac:dyDescent="0.25">
      <c r="A54" s="56"/>
      <c r="J54" s="57"/>
      <c r="M54" s="1"/>
    </row>
    <row r="55" spans="1:13" x14ac:dyDescent="0.25">
      <c r="A55" s="56"/>
      <c r="B55" s="143" t="s">
        <v>68</v>
      </c>
      <c r="C55" s="144"/>
      <c r="D55" s="144"/>
      <c r="E55" s="144"/>
      <c r="F55" s="144"/>
      <c r="G55" s="144"/>
      <c r="H55" s="144"/>
      <c r="I55" s="145"/>
      <c r="J55" s="57"/>
      <c r="M55" s="1"/>
    </row>
    <row r="56" spans="1:13" ht="75" customHeight="1" x14ac:dyDescent="0.25">
      <c r="A56" s="56"/>
      <c r="B56" s="170" t="s">
        <v>176</v>
      </c>
      <c r="C56" s="171"/>
      <c r="D56" s="172"/>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54110</v>
      </c>
      <c r="F57" s="81">
        <v>54110</v>
      </c>
      <c r="G57" s="82">
        <f>36712+23260</f>
        <v>59972</v>
      </c>
      <c r="H57" s="114">
        <f>IF($H$56=Lists!$D$8, IFERROR(F57-E57, ""), IF($H$56=Lists!$D$9, IFERROR(G57-E57, ""), IFERROR(G57-F57, "")))</f>
        <v>5862</v>
      </c>
      <c r="I57" s="83"/>
      <c r="J57" s="57"/>
      <c r="M57" s="1"/>
    </row>
    <row r="58" spans="1:13" x14ac:dyDescent="0.25">
      <c r="A58" s="56"/>
      <c r="B58" s="15" t="s">
        <v>42</v>
      </c>
      <c r="D58" s="16"/>
      <c r="E58" s="81">
        <v>38147</v>
      </c>
      <c r="F58" s="81">
        <v>38147</v>
      </c>
      <c r="G58" s="82"/>
      <c r="H58" s="114">
        <f>IF($H$56=Lists!$D$8, IFERROR(F58-E58, ""), IF($H$56=Lists!$D$9, IFERROR(G58-E58, ""), IFERROR(G58-F58, "")))</f>
        <v>-38147</v>
      </c>
      <c r="I58" s="83"/>
      <c r="J58" s="57"/>
      <c r="M58" s="1"/>
    </row>
    <row r="59" spans="1:13" x14ac:dyDescent="0.25">
      <c r="A59" s="56"/>
      <c r="B59" s="15" t="s">
        <v>43</v>
      </c>
      <c r="D59" s="16"/>
      <c r="E59" s="17">
        <f>IFERROR(E58/E57, "")</f>
        <v>0.70498983552023653</v>
      </c>
      <c r="F59" s="17">
        <f t="shared" ref="F59:G59" si="3">IFERROR(F58/F57, "")</f>
        <v>0.70498983552023653</v>
      </c>
      <c r="G59" s="17">
        <f t="shared" si="3"/>
        <v>0</v>
      </c>
      <c r="H59" s="115">
        <f t="shared" ref="H59" si="4">IFERROR(G59-F59, "")</f>
        <v>-0.70498983552023653</v>
      </c>
      <c r="I59" s="84"/>
      <c r="J59" s="57"/>
      <c r="M59" s="1"/>
    </row>
    <row r="60" spans="1:13" x14ac:dyDescent="0.25">
      <c r="A60" s="56"/>
      <c r="B60" s="15" t="s">
        <v>10</v>
      </c>
      <c r="D60" s="16"/>
      <c r="E60" s="81"/>
      <c r="F60" s="81"/>
      <c r="G60" s="82">
        <v>125000</v>
      </c>
      <c r="H60" s="116">
        <f>IF($H$56=Lists!$D$8, IFERROR(F60-E60, ""), IF($H$56=Lists!$D$9, IFERROR(G60-E60, ""), IFERROR(G60-F60, "")))</f>
        <v>125000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390.06442432082792</v>
      </c>
      <c r="F62" s="21">
        <f>IFERROR(F91/F57, "")</f>
        <v>370.74477915357608</v>
      </c>
      <c r="G62" s="21">
        <f>IFERROR(G91/G57, "")</f>
        <v>335.20320949776561</v>
      </c>
      <c r="H62" s="117">
        <f>IF($H$56=Lists!$D$8, IFERROR(F62-E62, ""), IF($H$56=Lists!$D$9, IFERROR(G62-E62, ""), IFERROR(G62-F62, "")))</f>
        <v>-35.541569655810463</v>
      </c>
      <c r="I62" s="86"/>
      <c r="J62" s="57"/>
      <c r="K62" s="87"/>
    </row>
    <row r="63" spans="1:13" x14ac:dyDescent="0.25">
      <c r="A63" s="56"/>
      <c r="B63" s="18" t="s">
        <v>162</v>
      </c>
      <c r="C63" s="19"/>
      <c r="D63" s="20"/>
      <c r="E63" s="22">
        <f>IFERROR(E97/E57, "")</f>
        <v>483.11519127702826</v>
      </c>
      <c r="F63" s="22">
        <f>IFERROR(F97/F57, "")</f>
        <v>448.19336536684534</v>
      </c>
      <c r="G63" s="22">
        <f>IFERROR(G97/G57, "")</f>
        <v>443.4886200226772</v>
      </c>
      <c r="H63" s="117">
        <f>IF($H$56=Lists!$D$8, IFERROR(F63-E63, ""), IF($H$56=Lists!$D$9, IFERROR(G63-E63, ""), IFERROR(G63-F63, "")))</f>
        <v>-4.7047453441681455</v>
      </c>
      <c r="I63" s="88"/>
      <c r="J63" s="57"/>
      <c r="K63" s="87"/>
    </row>
    <row r="64" spans="1:13" x14ac:dyDescent="0.25">
      <c r="A64" s="56"/>
      <c r="B64" s="233" t="s">
        <v>5</v>
      </c>
      <c r="C64" s="234"/>
      <c r="D64" s="234"/>
      <c r="E64" s="234"/>
      <c r="F64" s="234"/>
      <c r="G64" s="234"/>
      <c r="H64" s="234"/>
      <c r="I64" s="235"/>
      <c r="J64" s="57"/>
    </row>
    <row r="65" spans="1:10" x14ac:dyDescent="0.25">
      <c r="A65" s="56"/>
      <c r="B65" s="12" t="s">
        <v>6</v>
      </c>
      <c r="C65" s="13"/>
      <c r="D65" s="14"/>
      <c r="E65" s="89">
        <v>43435</v>
      </c>
      <c r="F65" s="89">
        <v>43435</v>
      </c>
      <c r="G65" s="90">
        <v>43567</v>
      </c>
      <c r="H65" s="114" t="str">
        <f>IF(SUM(E65:G65)=0, "", IF($H$56=Lists!$D$8, IFERROR(MROUND(CONVERT(F65-E65,"day","yr")*12, 0.5)&amp;" mo.", ""), IF($H$56=Lists!$D$9, IFERROR(MROUND(CONVERT(G65-E65,"day","yr")*12, 0.5)&amp;" mo.", ""), IFERROR(MROUND(CONVERT(G65-F65,"day","yr")*12, 0.5)&amp;" mo.", ""))))</f>
        <v>4.5 mo.</v>
      </c>
      <c r="I65" s="83" t="s">
        <v>217</v>
      </c>
      <c r="J65" s="57"/>
    </row>
    <row r="66" spans="1:10" x14ac:dyDescent="0.25">
      <c r="A66" s="56"/>
      <c r="B66" s="15" t="s">
        <v>7</v>
      </c>
      <c r="D66" s="16"/>
      <c r="E66" s="89">
        <v>43466</v>
      </c>
      <c r="F66" s="89">
        <v>43466</v>
      </c>
      <c r="G66" s="90">
        <v>43568</v>
      </c>
      <c r="H66" s="114" t="str">
        <f>IF(SUM(E66:G66)=0, "", IF($H$56=Lists!$D$8, IFERROR(MROUND(CONVERT(F66-E66,"day","yr")*12, 0.5)&amp;" mo.", ""), IF($H$56=Lists!$D$9, IFERROR(MROUND(CONVERT(G66-E66,"day","yr")*12, 0.5)&amp;" mo.", ""), IFERROR(MROUND(CONVERT(G66-F66,"day","yr")*12, 0.5)&amp;" mo.", ""))))</f>
        <v>3.5 mo.</v>
      </c>
      <c r="I66" s="83"/>
      <c r="J66" s="57"/>
    </row>
    <row r="67" spans="1:10" x14ac:dyDescent="0.25">
      <c r="A67" s="56"/>
      <c r="B67" s="15" t="s">
        <v>163</v>
      </c>
      <c r="D67" s="16"/>
      <c r="E67" s="89"/>
      <c r="F67" s="89">
        <v>44063</v>
      </c>
      <c r="G67" s="90">
        <v>44068</v>
      </c>
      <c r="H67" s="114" t="str">
        <f>IF(SUM(E67:G67)=0, "", IF($H$56=Lists!$D$8, IFERROR(MROUND(CONVERT(F67-E67,"day","yr")*12, 0.5)&amp;" mo.", ""), IF($H$56=Lists!$D$9, IFERROR(MROUND(CONVERT(G67-E67,"day","yr")*12, 0.5)&amp;" mo.", ""), IFERROR(MROUND(CONVERT(G67-F67,"day","yr")*12, 0.5)&amp;" mo.", ""))))</f>
        <v>0 mo.</v>
      </c>
      <c r="I67" s="83"/>
      <c r="J67" s="57"/>
    </row>
    <row r="68" spans="1:10" x14ac:dyDescent="0.25">
      <c r="A68" s="56"/>
      <c r="B68" s="15" t="s">
        <v>66</v>
      </c>
      <c r="D68" s="16"/>
      <c r="E68" s="89">
        <v>43922</v>
      </c>
      <c r="F68" s="89">
        <v>44070</v>
      </c>
      <c r="G68" s="90">
        <v>44132</v>
      </c>
      <c r="H68" s="114" t="str">
        <f>IF(SUM(E68:G68)=0, "", IF($H$56=Lists!$D$8, IFERROR(MROUND(CONVERT(F68-E68,"day","yr")*12, 0.5)&amp;" mo.", ""), IF($H$56=Lists!$D$9, IFERROR(MROUND(CONVERT(G68-E68,"day","yr")*12, 0.5)&amp;" mo.", ""), IFERROR(MROUND(CONVERT(G68-F68,"day","yr")*12, 0.5)&amp;" mo.", ""))))</f>
        <v>2 mo.</v>
      </c>
      <c r="I68" s="83"/>
      <c r="J68" s="57"/>
    </row>
    <row r="69" spans="1:10" ht="45" customHeight="1" x14ac:dyDescent="0.25">
      <c r="A69" s="56"/>
      <c r="B69" s="15" t="s">
        <v>8</v>
      </c>
      <c r="D69" s="16"/>
      <c r="E69" s="89">
        <v>44743</v>
      </c>
      <c r="F69" s="89">
        <v>44999</v>
      </c>
      <c r="G69" s="90">
        <v>45159</v>
      </c>
      <c r="H69" s="114" t="str">
        <f>IF(SUM(E69:G69)=0, "", IF($H$56=Lists!$D$8, IFERROR(MROUND(CONVERT(F69-E69,"day","yr")*12, 0.5)&amp;" mo.", ""), IF($H$56=Lists!$D$9, IFERROR(MROUND(CONVERT(G69-E69,"day","yr")*12, 0.5)&amp;" mo.", ""), IFERROR(MROUND(CONVERT(G69-F69,"day","yr")*12, 0.5)&amp;" mo.", ""))))</f>
        <v>5.5 mo.</v>
      </c>
      <c r="I69" s="131" t="s">
        <v>221</v>
      </c>
      <c r="J69" s="57"/>
    </row>
    <row r="70" spans="1:10" x14ac:dyDescent="0.25">
      <c r="A70" s="56"/>
      <c r="B70" s="18" t="s">
        <v>9</v>
      </c>
      <c r="C70" s="19"/>
      <c r="D70" s="20"/>
      <c r="E70" s="89"/>
      <c r="F70" s="89">
        <v>45731</v>
      </c>
      <c r="G70" s="90"/>
      <c r="H70" s="114" t="str">
        <f>IF(SUM(E70:G70)=0, "", IF($H$56=Lists!$D$8, IFERROR(MROUND(CONVERT(F70-E70,"day","yr")*12, 0.5)&amp;" mo.", ""), IF($H$56=Lists!$D$9, IFERROR(MROUND(CONVERT(G70-E70,"day","yr")*12, 0.5)&amp;" mo.", ""), IFERROR(MROUND(CONVERT(G70-F70,"day","yr")*12, 0.5)&amp;" mo.", ""))))</f>
        <v/>
      </c>
      <c r="I70" s="83" t="s">
        <v>220</v>
      </c>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67" t="s">
        <v>152</v>
      </c>
      <c r="B72" s="168"/>
      <c r="C72" s="168"/>
      <c r="D72" s="168"/>
      <c r="E72" s="168"/>
      <c r="F72" s="168"/>
      <c r="G72" s="168"/>
      <c r="H72" s="168"/>
      <c r="I72" s="168"/>
      <c r="J72" s="169"/>
    </row>
    <row r="73" spans="1:10" ht="9.9499999999999993" customHeight="1" thickTop="1" x14ac:dyDescent="0.25">
      <c r="A73" s="56"/>
      <c r="B73" s="33"/>
      <c r="C73" s="33"/>
      <c r="D73" s="33"/>
      <c r="E73" s="26"/>
      <c r="F73" s="26"/>
      <c r="G73" s="26"/>
      <c r="H73" s="27"/>
      <c r="I73" s="94"/>
      <c r="J73" s="57"/>
    </row>
    <row r="74" spans="1:10" ht="75" customHeight="1" x14ac:dyDescent="0.25">
      <c r="A74" s="56"/>
      <c r="B74" s="170" t="s">
        <v>176</v>
      </c>
      <c r="C74" s="171"/>
      <c r="D74" s="172"/>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3" t="s">
        <v>11</v>
      </c>
      <c r="C75" s="144"/>
      <c r="D75" s="144"/>
      <c r="E75" s="144"/>
      <c r="F75" s="144"/>
      <c r="G75" s="144"/>
      <c r="H75" s="144"/>
      <c r="I75" s="145"/>
      <c r="J75" s="57"/>
    </row>
    <row r="76" spans="1:10" x14ac:dyDescent="0.25">
      <c r="A76" s="56"/>
      <c r="B76" s="222" t="s">
        <v>50</v>
      </c>
      <c r="C76" s="223"/>
      <c r="D76" s="224"/>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3" t="s">
        <v>12</v>
      </c>
      <c r="C78" s="144"/>
      <c r="D78" s="144"/>
      <c r="E78" s="144"/>
      <c r="F78" s="144"/>
      <c r="G78" s="144"/>
      <c r="H78" s="144"/>
      <c r="I78" s="145"/>
      <c r="J78" s="57"/>
    </row>
    <row r="79" spans="1:10" x14ac:dyDescent="0.25">
      <c r="A79" s="56"/>
      <c r="B79" s="12" t="s">
        <v>44</v>
      </c>
      <c r="C79" s="13"/>
      <c r="D79" s="14"/>
      <c r="E79" s="97">
        <v>274920</v>
      </c>
      <c r="F79" s="97">
        <v>247134</v>
      </c>
      <c r="G79" s="98">
        <v>274920</v>
      </c>
      <c r="H79" s="31">
        <f>IF($H$56=Lists!$D$8, IFERROR(F79-E79, ""), IF($H$56=Lists!$D$9, IFERROR(G79-E79, ""), IFERROR(G79-F79, "")))</f>
        <v>27786</v>
      </c>
      <c r="I79" s="83"/>
      <c r="J79" s="57"/>
    </row>
    <row r="80" spans="1:10" x14ac:dyDescent="0.25">
      <c r="A80" s="56"/>
      <c r="B80" s="15" t="s">
        <v>164</v>
      </c>
      <c r="D80" s="16"/>
      <c r="E80" s="97">
        <v>1557188</v>
      </c>
      <c r="F80" s="97">
        <v>1600717</v>
      </c>
      <c r="G80" s="98">
        <v>2276260.02</v>
      </c>
      <c r="H80" s="31">
        <f>IF($H$56=Lists!$D$8, IFERROR(F80-E80, ""), IF($H$56=Lists!$D$9, IFERROR(G80-E80, ""), IFERROR(G80-F80, "")))</f>
        <v>675543.02</v>
      </c>
      <c r="I80" s="83"/>
      <c r="J80" s="57"/>
    </row>
    <row r="81" spans="1:10" x14ac:dyDescent="0.25">
      <c r="A81" s="56"/>
      <c r="B81" s="15" t="s">
        <v>166</v>
      </c>
      <c r="D81" s="16"/>
      <c r="E81" s="97">
        <v>1255716</v>
      </c>
      <c r="F81" s="97">
        <v>905707</v>
      </c>
      <c r="G81" s="98">
        <v>205982.7</v>
      </c>
      <c r="H81" s="31">
        <f>IF($H$56=Lists!$D$8, IFERROR(F81-E81, ""), IF($H$56=Lists!$D$9, IFERROR(G81-E81, ""), IFERROR(G81-F81, "")))</f>
        <v>-699724.3</v>
      </c>
      <c r="I81" s="83"/>
      <c r="J81" s="57"/>
    </row>
    <row r="82" spans="1:10" x14ac:dyDescent="0.25">
      <c r="A82" s="56"/>
      <c r="B82" s="15" t="s">
        <v>165</v>
      </c>
      <c r="D82" s="16"/>
      <c r="E82" s="97">
        <v>761540</v>
      </c>
      <c r="F82" s="97">
        <f>580554*1.2231</f>
        <v>710075.59740000009</v>
      </c>
      <c r="G82" s="97">
        <v>1147006.6000000001</v>
      </c>
      <c r="H82" s="31">
        <f>IF($H$56=Lists!$D$8, IFERROR(F82-E82, ""), IF($H$56=Lists!$D$9, IFERROR(G82-E82, ""), IFERROR(G82-F82, "")))</f>
        <v>436931.00260000001</v>
      </c>
      <c r="I82" s="83"/>
      <c r="J82" s="57"/>
    </row>
    <row r="83" spans="1:10" x14ac:dyDescent="0.25">
      <c r="A83" s="56"/>
      <c r="B83" s="15" t="s">
        <v>167</v>
      </c>
      <c r="D83" s="16"/>
      <c r="E83" s="97">
        <v>324712</v>
      </c>
      <c r="F83" s="97">
        <f>1600496-F82</f>
        <v>890420.40259999991</v>
      </c>
      <c r="G83" s="97">
        <v>359842.18</v>
      </c>
      <c r="H83" s="32">
        <f>IF($H$56=Lists!$D$8, IFERROR(F83-E83, ""), IF($H$56=Lists!$D$9, IFERROR(G83-E83, ""), IFERROR(G83-F83, "")))</f>
        <v>-530578.22259999998</v>
      </c>
      <c r="I83" s="83"/>
      <c r="J83" s="57"/>
    </row>
    <row r="84" spans="1:10" x14ac:dyDescent="0.25">
      <c r="A84" s="56"/>
      <c r="B84" s="15" t="s">
        <v>13</v>
      </c>
      <c r="D84" s="16"/>
      <c r="E84" s="97">
        <v>611583</v>
      </c>
      <c r="F84" s="97">
        <v>450100</v>
      </c>
      <c r="G84" s="98"/>
      <c r="H84" s="31">
        <f>IF($H$56=Lists!$D$8, IFERROR(F84-E84, ""), IF($H$56=Lists!$D$9, IFERROR(G84-E84, ""), IFERROR(G84-F84, "")))</f>
        <v>-450100</v>
      </c>
      <c r="I84" s="99"/>
      <c r="J84" s="57"/>
    </row>
    <row r="85" spans="1:10" x14ac:dyDescent="0.25">
      <c r="A85" s="56"/>
      <c r="B85" s="146" t="s">
        <v>14</v>
      </c>
      <c r="C85" s="147"/>
      <c r="D85" s="148"/>
      <c r="E85" s="34">
        <f>SUM(E79:E84)</f>
        <v>4785659</v>
      </c>
      <c r="F85" s="34">
        <f>SUM(F79:F84)</f>
        <v>4804154</v>
      </c>
      <c r="G85" s="34">
        <f>SUM(G79:G84)</f>
        <v>4264011.5</v>
      </c>
      <c r="H85" s="35">
        <f>IF($H$56=Lists!$D$8, IFERROR(F85-E85, ""), IF($H$56=Lists!$D$9, IFERROR(G85-E85, ""), IFERROR(G85-F85, "")))</f>
        <v>-540142.5</v>
      </c>
      <c r="I85" s="100"/>
      <c r="J85" s="57"/>
    </row>
    <row r="86" spans="1:10" ht="9.9499999999999993" customHeight="1" x14ac:dyDescent="0.25">
      <c r="A86" s="56"/>
      <c r="J86" s="57"/>
    </row>
    <row r="87" spans="1:10" x14ac:dyDescent="0.25">
      <c r="A87" s="56"/>
      <c r="B87" s="143" t="s">
        <v>15</v>
      </c>
      <c r="C87" s="144"/>
      <c r="D87" s="144"/>
      <c r="E87" s="144"/>
      <c r="F87" s="144"/>
      <c r="G87" s="144"/>
      <c r="H87" s="144"/>
      <c r="I87" s="145"/>
      <c r="J87" s="57"/>
    </row>
    <row r="88" spans="1:10" ht="14.45" customHeight="1" x14ac:dyDescent="0.25">
      <c r="A88" s="56"/>
      <c r="B88" s="12" t="s">
        <v>45</v>
      </c>
      <c r="C88" s="13"/>
      <c r="D88" s="14"/>
      <c r="E88" s="97">
        <v>2756933</v>
      </c>
      <c r="F88" s="97">
        <v>0</v>
      </c>
      <c r="G88" s="98">
        <v>1644788</v>
      </c>
      <c r="H88" s="36">
        <f>IF($H$56=Lists!$D$8, IFERROR(F88-E88, ""), IF($H$56=Lists!$D$9, IFERROR(G88-E88, ""), IFERROR(G88-F88, "")))</f>
        <v>1644788</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18349453</v>
      </c>
      <c r="F90" s="97">
        <v>20061000</v>
      </c>
      <c r="G90" s="97">
        <v>18458018.879999999</v>
      </c>
      <c r="H90" s="37">
        <f>IF($H$56=Lists!$D$8, IFERROR(F90-E90, ""), IF($H$56=Lists!$D$9, IFERROR(G90-E90, ""), IFERROR(G90-F90, "")))</f>
        <v>-1602981.120000001</v>
      </c>
      <c r="I90" s="99"/>
      <c r="J90" s="57"/>
    </row>
    <row r="91" spans="1:10" x14ac:dyDescent="0.25">
      <c r="A91" s="56"/>
      <c r="B91" s="164" t="s">
        <v>51</v>
      </c>
      <c r="C91" s="165"/>
      <c r="D91" s="166"/>
      <c r="E91" s="38">
        <f>SUM(E88:E90)</f>
        <v>21106386</v>
      </c>
      <c r="F91" s="38">
        <f t="shared" ref="F91:G91" si="5">SUM(F88:F90)</f>
        <v>20061000</v>
      </c>
      <c r="G91" s="38">
        <f t="shared" si="5"/>
        <v>20102806.879999999</v>
      </c>
      <c r="H91" s="36">
        <f>IF($H$56=Lists!$D$8, IFERROR(F91-E91, ""), IF($H$56=Lists!$D$9, IFERROR(G91-E91, ""), IFERROR(G91-F91, "")))</f>
        <v>41806.879999998957</v>
      </c>
      <c r="I91" s="100"/>
      <c r="J91" s="57"/>
    </row>
    <row r="92" spans="1:10" x14ac:dyDescent="0.25">
      <c r="A92" s="56"/>
      <c r="B92" s="15" t="s">
        <v>48</v>
      </c>
      <c r="D92" s="16"/>
      <c r="E92" s="97">
        <v>2680113</v>
      </c>
      <c r="F92" s="97">
        <v>2006100</v>
      </c>
      <c r="G92" s="98">
        <v>4080357.31</v>
      </c>
      <c r="H92" s="36">
        <f>IF($H$56=Lists!$D$8, IFERROR(F92-E92, ""), IF($H$56=Lists!$D$9, IFERROR(G92-E92, ""), IFERROR(G92-F92, "")))</f>
        <v>2074257.31</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2354864</v>
      </c>
      <c r="F94" s="97">
        <v>2184643</v>
      </c>
      <c r="G94" s="97">
        <v>2413735.33</v>
      </c>
      <c r="H94" s="36">
        <f>IF($H$56=Lists!$D$8, IFERROR(F94-E94, ""), IF($H$56=Lists!$D$9, IFERROR(G94-E94, ""), IFERROR(G94-F94, "")))</f>
        <v>229092.33000000007</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46" t="s">
        <v>52</v>
      </c>
      <c r="C97" s="147"/>
      <c r="D97" s="148"/>
      <c r="E97" s="38">
        <f>SUM(E91:E96)</f>
        <v>26141363</v>
      </c>
      <c r="F97" s="38">
        <f t="shared" ref="F97:G97" si="6">SUM(F91:F96)</f>
        <v>24251743</v>
      </c>
      <c r="G97" s="38">
        <f t="shared" si="6"/>
        <v>26596899.519999996</v>
      </c>
      <c r="H97" s="39">
        <f>IF($H$56=Lists!$D$8, IFERROR(F97-E97, ""), IF($H$56=Lists!$D$9, IFERROR(G97-E97, ""), IFERROR(G97-F97, "")))</f>
        <v>2345156.5199999958</v>
      </c>
      <c r="I97" s="84"/>
      <c r="J97" s="57"/>
    </row>
    <row r="98" spans="1:10" ht="9.9499999999999993" customHeight="1" x14ac:dyDescent="0.25">
      <c r="A98" s="56"/>
      <c r="J98" s="57"/>
    </row>
    <row r="99" spans="1:10" x14ac:dyDescent="0.25">
      <c r="A99" s="56"/>
      <c r="B99" s="143" t="s">
        <v>16</v>
      </c>
      <c r="C99" s="144"/>
      <c r="D99" s="144"/>
      <c r="E99" s="144"/>
      <c r="F99" s="144"/>
      <c r="G99" s="144"/>
      <c r="H99" s="144"/>
      <c r="I99" s="145"/>
      <c r="J99" s="57"/>
    </row>
    <row r="100" spans="1:10" x14ac:dyDescent="0.25">
      <c r="A100" s="56"/>
      <c r="B100" s="40" t="s">
        <v>17</v>
      </c>
      <c r="D100" s="16"/>
      <c r="E100" s="101">
        <v>4432171</v>
      </c>
      <c r="F100" s="101">
        <v>4726703</v>
      </c>
      <c r="G100" s="102">
        <v>2023328.95</v>
      </c>
      <c r="H100" s="41">
        <f>IF($H$56=Lists!$D$8, IFERROR(F100-E100, ""), IF($H$56=Lists!$D$9, IFERROR(G100-E100, ""), IFERROR(G100-F100, "")))</f>
        <v>-2703374.05</v>
      </c>
      <c r="I100" s="103"/>
      <c r="J100" s="104"/>
    </row>
    <row r="101" spans="1:10" x14ac:dyDescent="0.25">
      <c r="A101" s="56"/>
      <c r="B101" s="40" t="s">
        <v>18</v>
      </c>
      <c r="D101" s="16"/>
      <c r="E101" s="101">
        <v>105532</v>
      </c>
      <c r="F101" s="101">
        <v>98006</v>
      </c>
      <c r="G101" s="102">
        <v>98006</v>
      </c>
      <c r="H101" s="41">
        <f>IF($H$56=Lists!$D$8, IFERROR(F101-E101, ""), IF($H$56=Lists!$D$9, IFERROR(G101-E101, ""), IFERROR(G101-F101, "")))</f>
        <v>0</v>
      </c>
      <c r="I101" s="103"/>
      <c r="J101" s="104"/>
    </row>
    <row r="102" spans="1:10" x14ac:dyDescent="0.25">
      <c r="A102" s="56"/>
      <c r="B102" s="40" t="s">
        <v>53</v>
      </c>
      <c r="D102" s="16"/>
      <c r="E102" s="97">
        <v>310055</v>
      </c>
      <c r="F102" s="97">
        <v>464710</v>
      </c>
      <c r="G102" s="98">
        <v>578714.5</v>
      </c>
      <c r="H102" s="42">
        <f>IF($H$56=Lists!$D$8, IFERROR(F102-E102, ""), IF($H$56=Lists!$D$9, IFERROR(G102-E102, ""), IFERROR(G102-F102, "")))</f>
        <v>114004.5</v>
      </c>
      <c r="I102" s="83"/>
      <c r="J102" s="57"/>
    </row>
    <row r="103" spans="1:10" x14ac:dyDescent="0.25">
      <c r="A103" s="56"/>
      <c r="B103" s="40" t="s">
        <v>147</v>
      </c>
      <c r="D103" s="16"/>
      <c r="E103" s="97">
        <v>767974</v>
      </c>
      <c r="F103" s="97">
        <v>791121</v>
      </c>
      <c r="G103" s="105">
        <v>225402.28</v>
      </c>
      <c r="H103" s="43">
        <f>IF($H$56=Lists!$D$8, IFERROR(F103-E103, ""), IF($H$56=Lists!$D$9, IFERROR(G103-E103, ""), IFERROR(G103-F103, "")))</f>
        <v>-565718.72</v>
      </c>
      <c r="I103" s="103" t="s">
        <v>219</v>
      </c>
      <c r="J103" s="104"/>
    </row>
    <row r="104" spans="1:10" ht="15.75" thickBot="1" x14ac:dyDescent="0.3">
      <c r="A104" s="56"/>
      <c r="B104" s="161" t="s">
        <v>54</v>
      </c>
      <c r="C104" s="162"/>
      <c r="D104" s="163"/>
      <c r="E104" s="44">
        <f>SUM(E100:E103)</f>
        <v>5615732</v>
      </c>
      <c r="F104" s="44">
        <f>SUM(F100:F103)</f>
        <v>6080540</v>
      </c>
      <c r="G104" s="44">
        <f>SUM(G100:G103)</f>
        <v>2925451.73</v>
      </c>
      <c r="H104" s="39">
        <f>IF($H$56=Lists!$D$8, IFERROR(F104-E104, ""), IF($H$56=Lists!$D$9, IFERROR(G104-E104, ""), IFERROR(G104-F104, "")))</f>
        <v>-3155088.27</v>
      </c>
      <c r="I104" s="106"/>
      <c r="J104" s="104"/>
    </row>
    <row r="105" spans="1:10" ht="20.25" thickTop="1" thickBot="1" x14ac:dyDescent="0.35">
      <c r="A105" s="56"/>
      <c r="B105" s="107" t="s">
        <v>145</v>
      </c>
      <c r="C105" s="108"/>
      <c r="D105" s="108"/>
      <c r="E105" s="109">
        <f>SUM(E76,E85,E97,E104)</f>
        <v>36542754</v>
      </c>
      <c r="F105" s="109">
        <f>SUM(F76,F85,F97,F104)</f>
        <v>35136437</v>
      </c>
      <c r="G105" s="109">
        <f>SUM(G76,G85,G97,G104)</f>
        <v>33786362.749999993</v>
      </c>
      <c r="H105" s="109">
        <f>SUM(H76,H85,H97,H104)</f>
        <v>-1350074.2500000042</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8" t="str">
        <f>IF(ReportType=Lists!$O$2, "", "Close-Out Information")</f>
        <v/>
      </c>
      <c r="C107" s="159"/>
      <c r="D107" s="159"/>
      <c r="E107" s="159"/>
      <c r="F107" s="159"/>
      <c r="G107" s="159"/>
      <c r="H107" s="159"/>
      <c r="I107" s="160"/>
      <c r="J107" s="61"/>
    </row>
    <row r="108" spans="1:10" s="1" customFormat="1" x14ac:dyDescent="0.25">
      <c r="A108" s="60"/>
      <c r="B108" s="47"/>
      <c r="C108" s="185"/>
      <c r="D108" s="185"/>
      <c r="E108" s="185" t="str">
        <f>IF(ReportType=Lists!$O$2, "", "NOTES")</f>
        <v/>
      </c>
      <c r="F108" s="185"/>
      <c r="G108" s="185"/>
      <c r="H108" s="185"/>
      <c r="I108" s="186"/>
      <c r="J108" s="61"/>
    </row>
    <row r="109" spans="1:10" ht="15" customHeight="1" x14ac:dyDescent="0.25">
      <c r="A109" s="56"/>
      <c r="B109" s="80" t="str">
        <f>IF(ReportType=Lists!$O$2, "", "Number of Change Orders")</f>
        <v/>
      </c>
      <c r="C109" s="191"/>
      <c r="D109" s="192"/>
      <c r="E109" s="182"/>
      <c r="F109" s="183"/>
      <c r="G109" s="183"/>
      <c r="H109" s="183"/>
      <c r="I109" s="184"/>
      <c r="J109" s="57"/>
    </row>
    <row r="110" spans="1:10" ht="15" customHeight="1" x14ac:dyDescent="0.25">
      <c r="A110" s="56"/>
      <c r="B110" s="80" t="str">
        <f>IF(ReportType=Lists!$O$2, "", "Total Value of Change Orders")</f>
        <v/>
      </c>
      <c r="C110" s="187"/>
      <c r="D110" s="188"/>
      <c r="E110" s="120"/>
      <c r="F110" s="121"/>
      <c r="G110" s="121"/>
      <c r="H110" s="121"/>
      <c r="I110" s="122"/>
      <c r="J110" s="57"/>
    </row>
    <row r="111" spans="1:10" ht="15" customHeight="1" x14ac:dyDescent="0.25">
      <c r="A111" s="56"/>
      <c r="B111" s="80" t="str">
        <f>IF(ReportType=Lists!$O$2, "", "Outstanding Liabilities")</f>
        <v/>
      </c>
      <c r="C111" s="187"/>
      <c r="D111" s="188"/>
      <c r="E111" s="120"/>
      <c r="F111" s="121"/>
      <c r="G111" s="121"/>
      <c r="H111" s="121"/>
      <c r="I111" s="122"/>
      <c r="J111" s="57"/>
    </row>
    <row r="112" spans="1:10" x14ac:dyDescent="0.25">
      <c r="A112" s="56"/>
      <c r="B112" s="18" t="str">
        <f>IF(ReportType=Lists!$O$2, "", "Unsettled Claims")</f>
        <v/>
      </c>
      <c r="C112" s="189"/>
      <c r="D112" s="190"/>
      <c r="E112" s="182"/>
      <c r="F112" s="183"/>
      <c r="G112" s="183"/>
      <c r="H112" s="183"/>
      <c r="I112" s="184"/>
      <c r="J112" s="57"/>
    </row>
    <row r="113" spans="1:10" ht="9.9499999999999993" customHeight="1" x14ac:dyDescent="0.25">
      <c r="A113" s="56"/>
      <c r="J113" s="57"/>
    </row>
    <row r="114" spans="1:10" ht="15.75" thickBot="1" x14ac:dyDescent="0.3">
      <c r="A114" s="56"/>
      <c r="B114" s="1" t="s">
        <v>20</v>
      </c>
      <c r="J114" s="57"/>
    </row>
    <row r="115" spans="1:10" x14ac:dyDescent="0.25">
      <c r="A115" s="56"/>
      <c r="B115" s="193" t="s">
        <v>218</v>
      </c>
      <c r="C115" s="194"/>
      <c r="D115" s="194"/>
      <c r="E115" s="194"/>
      <c r="F115" s="194"/>
      <c r="G115" s="194"/>
      <c r="H115" s="194"/>
      <c r="I115" s="195"/>
      <c r="J115" s="57"/>
    </row>
    <row r="116" spans="1:10" x14ac:dyDescent="0.25">
      <c r="A116" s="56"/>
      <c r="B116" s="196"/>
      <c r="C116" s="197"/>
      <c r="D116" s="197"/>
      <c r="E116" s="197"/>
      <c r="F116" s="197"/>
      <c r="G116" s="197"/>
      <c r="H116" s="197"/>
      <c r="I116" s="198"/>
      <c r="J116" s="57"/>
    </row>
    <row r="117" spans="1:10" x14ac:dyDescent="0.25">
      <c r="A117" s="56"/>
      <c r="B117" s="196"/>
      <c r="C117" s="197"/>
      <c r="D117" s="197"/>
      <c r="E117" s="197"/>
      <c r="F117" s="197"/>
      <c r="G117" s="197"/>
      <c r="H117" s="197"/>
      <c r="I117" s="198"/>
      <c r="J117" s="57"/>
    </row>
    <row r="118" spans="1:10" x14ac:dyDescent="0.25">
      <c r="A118" s="56"/>
      <c r="B118" s="196"/>
      <c r="C118" s="197"/>
      <c r="D118" s="197"/>
      <c r="E118" s="197"/>
      <c r="F118" s="197"/>
      <c r="G118" s="197"/>
      <c r="H118" s="197"/>
      <c r="I118" s="198"/>
      <c r="J118" s="57"/>
    </row>
    <row r="119" spans="1:10" x14ac:dyDescent="0.25">
      <c r="A119" s="56"/>
      <c r="B119" s="196"/>
      <c r="C119" s="197"/>
      <c r="D119" s="197"/>
      <c r="E119" s="197"/>
      <c r="F119" s="197"/>
      <c r="G119" s="197"/>
      <c r="H119" s="197"/>
      <c r="I119" s="198"/>
      <c r="J119" s="57"/>
    </row>
    <row r="120" spans="1:10" x14ac:dyDescent="0.25">
      <c r="A120" s="56"/>
      <c r="B120" s="196"/>
      <c r="C120" s="197"/>
      <c r="D120" s="197"/>
      <c r="E120" s="197"/>
      <c r="F120" s="197"/>
      <c r="G120" s="197"/>
      <c r="H120" s="197"/>
      <c r="I120" s="198"/>
      <c r="J120" s="57"/>
    </row>
    <row r="121" spans="1:10" x14ac:dyDescent="0.25">
      <c r="A121" s="56"/>
      <c r="B121" s="196"/>
      <c r="C121" s="197"/>
      <c r="D121" s="197"/>
      <c r="E121" s="197"/>
      <c r="F121" s="197"/>
      <c r="G121" s="197"/>
      <c r="H121" s="197"/>
      <c r="I121" s="198"/>
      <c r="J121" s="57"/>
    </row>
    <row r="122" spans="1:10" x14ac:dyDescent="0.25">
      <c r="A122" s="56"/>
      <c r="B122" s="196"/>
      <c r="C122" s="197"/>
      <c r="D122" s="197"/>
      <c r="E122" s="197"/>
      <c r="F122" s="197"/>
      <c r="G122" s="197"/>
      <c r="H122" s="197"/>
      <c r="I122" s="198"/>
      <c r="J122" s="57"/>
    </row>
    <row r="123" spans="1:10" x14ac:dyDescent="0.25">
      <c r="A123" s="56"/>
      <c r="B123" s="196"/>
      <c r="C123" s="197"/>
      <c r="D123" s="197"/>
      <c r="E123" s="197"/>
      <c r="F123" s="197"/>
      <c r="G123" s="197"/>
      <c r="H123" s="197"/>
      <c r="I123" s="198"/>
      <c r="J123" s="57"/>
    </row>
    <row r="124" spans="1:10" x14ac:dyDescent="0.25">
      <c r="A124" s="56"/>
      <c r="B124" s="196"/>
      <c r="C124" s="197"/>
      <c r="D124" s="197"/>
      <c r="E124" s="197"/>
      <c r="F124" s="197"/>
      <c r="G124" s="197"/>
      <c r="H124" s="197"/>
      <c r="I124" s="198"/>
      <c r="J124" s="57"/>
    </row>
    <row r="125" spans="1:10" x14ac:dyDescent="0.25">
      <c r="A125" s="56"/>
      <c r="B125" s="196"/>
      <c r="C125" s="197"/>
      <c r="D125" s="197"/>
      <c r="E125" s="197"/>
      <c r="F125" s="197"/>
      <c r="G125" s="197"/>
      <c r="H125" s="197"/>
      <c r="I125" s="198"/>
      <c r="J125" s="57"/>
    </row>
    <row r="126" spans="1:10" x14ac:dyDescent="0.25">
      <c r="A126" s="56"/>
      <c r="B126" s="196"/>
      <c r="C126" s="197"/>
      <c r="D126" s="197"/>
      <c r="E126" s="197"/>
      <c r="F126" s="197"/>
      <c r="G126" s="197"/>
      <c r="H126" s="197"/>
      <c r="I126" s="198"/>
      <c r="J126" s="57"/>
    </row>
    <row r="127" spans="1:10" x14ac:dyDescent="0.25">
      <c r="A127" s="56"/>
      <c r="B127" s="196"/>
      <c r="C127" s="197"/>
      <c r="D127" s="197"/>
      <c r="E127" s="197"/>
      <c r="F127" s="197"/>
      <c r="G127" s="197"/>
      <c r="H127" s="197"/>
      <c r="I127" s="198"/>
      <c r="J127" s="57"/>
    </row>
    <row r="128" spans="1:10" x14ac:dyDescent="0.25">
      <c r="A128" s="56"/>
      <c r="B128" s="196"/>
      <c r="C128" s="197"/>
      <c r="D128" s="197"/>
      <c r="E128" s="197"/>
      <c r="F128" s="197"/>
      <c r="G128" s="197"/>
      <c r="H128" s="197"/>
      <c r="I128" s="198"/>
      <c r="J128" s="57"/>
    </row>
    <row r="129" spans="1:10" x14ac:dyDescent="0.25">
      <c r="A129" s="56"/>
      <c r="B129" s="196"/>
      <c r="C129" s="197"/>
      <c r="D129" s="197"/>
      <c r="E129" s="197"/>
      <c r="F129" s="197"/>
      <c r="G129" s="197"/>
      <c r="H129" s="197"/>
      <c r="I129" s="198"/>
      <c r="J129" s="57"/>
    </row>
    <row r="130" spans="1:10" x14ac:dyDescent="0.25">
      <c r="A130" s="56"/>
      <c r="B130" s="196"/>
      <c r="C130" s="197"/>
      <c r="D130" s="197"/>
      <c r="E130" s="197"/>
      <c r="F130" s="197"/>
      <c r="G130" s="197"/>
      <c r="H130" s="197"/>
      <c r="I130" s="198"/>
      <c r="J130" s="57"/>
    </row>
    <row r="131" spans="1:10" ht="4.5" customHeight="1" x14ac:dyDescent="0.25">
      <c r="A131" s="56"/>
      <c r="B131" s="196"/>
      <c r="C131" s="197"/>
      <c r="D131" s="197"/>
      <c r="E131" s="197"/>
      <c r="F131" s="197"/>
      <c r="G131" s="197"/>
      <c r="H131" s="197"/>
      <c r="I131" s="198"/>
      <c r="J131" s="57"/>
    </row>
    <row r="132" spans="1:10" hidden="1" x14ac:dyDescent="0.25">
      <c r="A132" s="56"/>
      <c r="B132" s="196"/>
      <c r="C132" s="197"/>
      <c r="D132" s="197"/>
      <c r="E132" s="197"/>
      <c r="F132" s="197"/>
      <c r="G132" s="197"/>
      <c r="H132" s="197"/>
      <c r="I132" s="198"/>
      <c r="J132" s="57"/>
    </row>
    <row r="133" spans="1:10" hidden="1" x14ac:dyDescent="0.25">
      <c r="A133" s="56"/>
      <c r="B133" s="196"/>
      <c r="C133" s="197"/>
      <c r="D133" s="197"/>
      <c r="E133" s="197"/>
      <c r="F133" s="197"/>
      <c r="G133" s="197"/>
      <c r="H133" s="197"/>
      <c r="I133" s="198"/>
      <c r="J133" s="57"/>
    </row>
    <row r="134" spans="1:10" ht="8.25" customHeight="1" thickBot="1" x14ac:dyDescent="0.3">
      <c r="A134" s="56"/>
      <c r="B134" s="199"/>
      <c r="C134" s="200"/>
      <c r="D134" s="200"/>
      <c r="E134" s="200"/>
      <c r="F134" s="200"/>
      <c r="G134" s="200"/>
      <c r="H134" s="200"/>
      <c r="I134" s="20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I31:I32"/>
    <mergeCell ref="B76:D76"/>
    <mergeCell ref="E51:F51"/>
    <mergeCell ref="C51:D51"/>
    <mergeCell ref="C52:D52"/>
    <mergeCell ref="C53:D53"/>
    <mergeCell ref="B75:I75"/>
    <mergeCell ref="G51:H51"/>
    <mergeCell ref="G52:H52"/>
    <mergeCell ref="G53:H53"/>
    <mergeCell ref="B56:D56"/>
    <mergeCell ref="B64:I64"/>
    <mergeCell ref="B55:I55"/>
    <mergeCell ref="B115:I134"/>
    <mergeCell ref="B1:I1"/>
    <mergeCell ref="B3:I3"/>
    <mergeCell ref="C5:H5"/>
    <mergeCell ref="C7:H7"/>
    <mergeCell ref="B9:I9"/>
    <mergeCell ref="C6:H6"/>
    <mergeCell ref="B4:I4"/>
    <mergeCell ref="C10:H10"/>
    <mergeCell ref="C11:H11"/>
    <mergeCell ref="C12:H12"/>
    <mergeCell ref="B22:B27"/>
    <mergeCell ref="C16:I19"/>
    <mergeCell ref="A14:J14"/>
    <mergeCell ref="B17:B19"/>
    <mergeCell ref="B78:I78"/>
    <mergeCell ref="E112:I112"/>
    <mergeCell ref="E108:I108"/>
    <mergeCell ref="E109:I109"/>
    <mergeCell ref="C111:D111"/>
    <mergeCell ref="C110:D110"/>
    <mergeCell ref="C108:D108"/>
    <mergeCell ref="C112:D112"/>
    <mergeCell ref="C109:D109"/>
    <mergeCell ref="B87:I87"/>
    <mergeCell ref="B85:D85"/>
    <mergeCell ref="C21:I27"/>
    <mergeCell ref="B107:I107"/>
    <mergeCell ref="B104:D104"/>
    <mergeCell ref="B99:I99"/>
    <mergeCell ref="B97:D97"/>
    <mergeCell ref="B91:D91"/>
    <mergeCell ref="B29:I29"/>
    <mergeCell ref="B50:I50"/>
    <mergeCell ref="A72:J72"/>
    <mergeCell ref="B74:D74"/>
    <mergeCell ref="C30:I30"/>
    <mergeCell ref="C31:D31"/>
    <mergeCell ref="E31:G31"/>
    <mergeCell ref="H31:H32"/>
  </mergeCells>
  <conditionalFormatting sqref="A1:J94">
    <cfRule type="expression" dxfId="4" priority="2">
      <formula>CELL("PROTECT", A1)=0</formula>
    </cfRule>
  </conditionalFormatting>
  <conditionalFormatting sqref="A95:J99 A104:J109 A110:C111 E110:J111 A112:J135">
    <cfRule type="expression" dxfId="3" priority="10">
      <formula>CELL("PROTECT", A95)=0</formula>
    </cfRule>
  </conditionalFormatting>
  <conditionalFormatting sqref="A100:J103">
    <cfRule type="expression" dxfId="2" priority="1">
      <formula>CELL("PROTECT", A100)=0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AA6700E-C1CC-4AC1-AD59-74735A3E39CF}"/>
  </hyperlinks>
  <printOptions horizontalCentered="1"/>
  <pageMargins left="0.45" right="0.45" top="0.5" bottom="0.5" header="0.3" footer="0.3"/>
  <pageSetup scale="63"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1BF2-EAB2-4E16-9FB1-9FC32D5DD25F}">
  <dimension ref="A1:AE3"/>
  <sheetViews>
    <sheetView showGridLines="0" zoomScaleNormal="100" workbookViewId="0">
      <selection activeCell="V27" sqref="V27"/>
    </sheetView>
  </sheetViews>
  <sheetFormatPr defaultColWidth="8.4257812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36" t="s">
        <v>204</v>
      </c>
      <c r="B1" s="236"/>
      <c r="C1" s="236"/>
      <c r="D1" s="236"/>
      <c r="E1" s="236"/>
      <c r="F1" s="236"/>
      <c r="G1" s="236"/>
      <c r="H1" s="236"/>
      <c r="I1" s="236"/>
      <c r="J1" s="236"/>
      <c r="K1" s="236"/>
      <c r="L1" s="236"/>
      <c r="M1" s="236"/>
      <c r="N1" s="236"/>
      <c r="O1" s="236"/>
      <c r="P1" s="236"/>
      <c r="Q1" s="236"/>
      <c r="R1" s="236"/>
      <c r="S1" s="127"/>
      <c r="T1" s="126"/>
      <c r="U1" s="126"/>
      <c r="V1" s="126"/>
      <c r="W1" s="126"/>
      <c r="X1" s="126"/>
      <c r="Y1" s="126"/>
      <c r="Z1" s="126"/>
      <c r="AA1" s="126"/>
      <c r="AB1" s="126"/>
      <c r="AC1" s="126"/>
      <c r="AD1" s="126"/>
      <c r="AE1" s="126"/>
    </row>
    <row r="2" spans="1:31" ht="15" customHeight="1" x14ac:dyDescent="0.35">
      <c r="A2" s="236"/>
      <c r="B2" s="236"/>
      <c r="C2" s="236"/>
      <c r="D2" s="236"/>
      <c r="E2" s="236"/>
      <c r="F2" s="236"/>
      <c r="G2" s="236"/>
      <c r="H2" s="236"/>
      <c r="I2" s="236"/>
      <c r="J2" s="236"/>
      <c r="K2" s="236"/>
      <c r="L2" s="236"/>
      <c r="M2" s="236"/>
      <c r="N2" s="236"/>
      <c r="O2" s="236"/>
      <c r="P2" s="236"/>
      <c r="Q2" s="236"/>
      <c r="R2" s="236"/>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Y14" sqref="Y14"/>
    </sheetView>
  </sheetViews>
  <sheetFormatPr defaultColWidth="8.8554687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36" t="s">
        <v>204</v>
      </c>
      <c r="B1" s="236"/>
      <c r="C1" s="236"/>
      <c r="D1" s="236"/>
      <c r="E1" s="236"/>
      <c r="F1" s="236"/>
      <c r="G1" s="236"/>
      <c r="H1" s="236"/>
      <c r="I1" s="236"/>
      <c r="J1" s="236"/>
      <c r="K1" s="236"/>
      <c r="L1" s="236"/>
      <c r="M1" s="236"/>
      <c r="N1" s="236"/>
      <c r="O1" s="236"/>
      <c r="P1" s="236"/>
      <c r="Q1" s="236"/>
      <c r="R1" s="236"/>
      <c r="S1" s="127"/>
      <c r="T1" s="126"/>
      <c r="U1" s="126"/>
      <c r="V1" s="126"/>
      <c r="W1" s="126"/>
      <c r="X1" s="126"/>
      <c r="Y1" s="126"/>
      <c r="Z1" s="126"/>
      <c r="AA1" s="126"/>
      <c r="AB1" s="126"/>
      <c r="AC1" s="126"/>
      <c r="AD1" s="126"/>
      <c r="AE1" s="126"/>
    </row>
    <row r="2" spans="1:31" ht="15" customHeight="1" x14ac:dyDescent="0.35">
      <c r="A2" s="236"/>
      <c r="B2" s="236"/>
      <c r="C2" s="236"/>
      <c r="D2" s="236"/>
      <c r="E2" s="236"/>
      <c r="F2" s="236"/>
      <c r="G2" s="236"/>
      <c r="H2" s="236"/>
      <c r="I2" s="236"/>
      <c r="J2" s="236"/>
      <c r="K2" s="236"/>
      <c r="L2" s="236"/>
      <c r="M2" s="236"/>
      <c r="N2" s="236"/>
      <c r="O2" s="236"/>
      <c r="P2" s="236"/>
      <c r="Q2" s="236"/>
      <c r="R2" s="236"/>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ColWidth="8.85546875"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172</v>
      </c>
      <c r="H8" s="2" t="s">
        <v>21</v>
      </c>
      <c r="M8" t="str">
        <f ca="1">TEXT(DATE(YEAR(TODAY()), MONTH(TODAY())+ROWS($M$2:$M8)-1, DAY(1)), "MMMM YYYY")</f>
        <v>June 2025</v>
      </c>
    </row>
    <row r="9" spans="2:15" ht="15" customHeight="1" x14ac:dyDescent="0.25">
      <c r="B9" t="s">
        <v>101</v>
      </c>
      <c r="D9" t="s">
        <v>173</v>
      </c>
      <c r="H9" s="3" t="s">
        <v>28</v>
      </c>
      <c r="M9" t="str">
        <f ca="1">TEXT(DATE(YEAR(TODAY()), MONTH(TODAY())+ROWS($M$2:$M9)-1, DAY(1)), "MMMM YYYY")</f>
        <v>July 2025</v>
      </c>
    </row>
    <row r="10" spans="2:15" ht="15" customHeight="1" x14ac:dyDescent="0.25">
      <c r="B10" t="s">
        <v>77</v>
      </c>
      <c r="D10" t="s">
        <v>195</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30000987 Pierce College Fort Steilacoom Cascade Building Phase 3</dc:title>
  <dc:creator>Office of Financial Management;Christine Thomas</dc:creator>
  <cp:lastModifiedBy>Susan Locke</cp:lastModifiedBy>
  <cp:lastPrinted>2024-12-16T20:49:11Z</cp:lastPrinted>
  <dcterms:created xsi:type="dcterms:W3CDTF">2012-08-29T14:59:47Z</dcterms:created>
  <dcterms:modified xsi:type="dcterms:W3CDTF">2024-12-18T16:28:18Z</dcterms:modified>
</cp:coreProperties>
</file>